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lf\Downloads\"/>
    </mc:Choice>
  </mc:AlternateContent>
  <xr:revisionPtr revIDLastSave="0" documentId="13_ncr:1_{11DBEA80-2B8D-4578-A640-7C91851E70F3}" xr6:coauthVersionLast="47" xr6:coauthVersionMax="47" xr10:uidLastSave="{00000000-0000-0000-0000-000000000000}"/>
  <workbookProtection workbookAlgorithmName="SHA-512" workbookHashValue="ntZvEtiqwVw6JzcLWyAXeRm2HLJRRYAtf9JVmbSBqd64IdomvLFO2MeEobNqOL2OI4BAnfXGXswJ4AnCWWK1MA==" workbookSaltValue="CVT5MTzfKX1sA+VluJtg9g==" workbookSpinCount="100000" lockStructure="1"/>
  <bookViews>
    <workbookView xWindow="-120" yWindow="-120" windowWidth="29040" windowHeight="15720" firstSheet="1" activeTab="1" xr2:uid="{AB668527-D7D6-4494-A53C-60DF8B2049CD}"/>
  </bookViews>
  <sheets>
    <sheet name="Data" sheetId="12" state="veryHidden" r:id="rId1"/>
    <sheet name="Intro" sheetId="15" r:id="rId2"/>
    <sheet name="New capacities" sheetId="11" r:id="rId3"/>
    <sheet name="Power Sector Performances" sheetId="14" r:id="rId4"/>
    <sheet name="Services" sheetId="19" r:id="rId5"/>
  </sheets>
  <externalReferences>
    <externalReference r:id="rId6"/>
  </externalReferences>
  <definedNames>
    <definedName name="data" localSheetId="4">[1]Data!$A$5:$DD$386</definedName>
    <definedName name="data">Data!$A$5:$DD$386</definedName>
    <definedName name="_xlnm.Print_Titles" localSheetId="2">'New capacities'!$1:$5</definedName>
    <definedName name="_xlnm.Print_Titles" localSheetId="3">'Power Sector Performances'!$1:$5</definedName>
    <definedName name="_xlnm.Print_Area" localSheetId="1">Intro!$A$1:$O$13</definedName>
    <definedName name="_xlnm.Print_Area" localSheetId="2">'New capacities'!$A$1:$H$74</definedName>
    <definedName name="_xlnm.Print_Area" localSheetId="3">'Power Sector Performances'!$A$1:$L$218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3" i="14" l="1"/>
  <c r="D213" i="14"/>
  <c r="C213" i="14"/>
  <c r="E212" i="14"/>
  <c r="D212" i="14"/>
  <c r="C212" i="14"/>
  <c r="I211" i="14"/>
  <c r="E211" i="14"/>
  <c r="D211" i="14"/>
  <c r="C211" i="14"/>
  <c r="K210" i="14"/>
  <c r="J210" i="14"/>
  <c r="J212" i="14" s="1"/>
  <c r="I210" i="14"/>
  <c r="I212" i="14" s="1"/>
  <c r="G210" i="14"/>
  <c r="G213" i="14" s="1"/>
  <c r="F210" i="14"/>
  <c r="F212" i="14" s="1"/>
  <c r="J206" i="14"/>
  <c r="F206" i="14"/>
  <c r="E206" i="14"/>
  <c r="D206" i="14"/>
  <c r="C206" i="14"/>
  <c r="L205" i="14"/>
  <c r="J205" i="14"/>
  <c r="G205" i="14" s="1"/>
  <c r="G206" i="14" s="1"/>
  <c r="H205" i="14"/>
  <c r="H206" i="14" s="1"/>
  <c r="F205" i="14"/>
  <c r="E183" i="14"/>
  <c r="D183" i="14"/>
  <c r="C183" i="14"/>
  <c r="I182" i="14"/>
  <c r="E182" i="14"/>
  <c r="D182" i="14"/>
  <c r="C182" i="14"/>
  <c r="E181" i="14"/>
  <c r="D181" i="14"/>
  <c r="C181" i="14"/>
  <c r="I180" i="14"/>
  <c r="E180" i="14"/>
  <c r="D180" i="14"/>
  <c r="C180" i="14"/>
  <c r="K179" i="14"/>
  <c r="J179" i="14"/>
  <c r="J183" i="14" s="1"/>
  <c r="I179" i="14"/>
  <c r="I183" i="14" s="1"/>
  <c r="G179" i="14"/>
  <c r="F179" i="14"/>
  <c r="F183" i="14" s="1"/>
  <c r="E155" i="14"/>
  <c r="D155" i="14"/>
  <c r="C155" i="14"/>
  <c r="E154" i="14"/>
  <c r="D154" i="14"/>
  <c r="C154" i="14"/>
  <c r="J153" i="14"/>
  <c r="E153" i="14"/>
  <c r="D153" i="14"/>
  <c r="C153" i="14"/>
  <c r="E152" i="14"/>
  <c r="D152" i="14"/>
  <c r="C152" i="14"/>
  <c r="J151" i="14"/>
  <c r="F151" i="14"/>
  <c r="I129" i="14"/>
  <c r="E129" i="14"/>
  <c r="D129" i="14"/>
  <c r="C129" i="14"/>
  <c r="E128" i="14"/>
  <c r="D128" i="14"/>
  <c r="C128" i="14"/>
  <c r="I127" i="14"/>
  <c r="E127" i="14"/>
  <c r="D127" i="14"/>
  <c r="C127" i="14"/>
  <c r="E126" i="14"/>
  <c r="D126" i="14"/>
  <c r="C126" i="14"/>
  <c r="I125" i="14"/>
  <c r="E125" i="14"/>
  <c r="D125" i="14"/>
  <c r="C125" i="14"/>
  <c r="K124" i="14"/>
  <c r="J124" i="14"/>
  <c r="J128" i="14" s="1"/>
  <c r="K128" i="14" s="1"/>
  <c r="I124" i="14"/>
  <c r="I128" i="14" s="1"/>
  <c r="G124" i="14"/>
  <c r="G126" i="14" s="1"/>
  <c r="F124" i="14"/>
  <c r="F128" i="14" s="1"/>
  <c r="D100" i="14"/>
  <c r="D94" i="14"/>
  <c r="D93" i="14"/>
  <c r="D92" i="14"/>
  <c r="J88" i="14"/>
  <c r="G88" i="14" s="1"/>
  <c r="H88" i="14"/>
  <c r="F88" i="14"/>
  <c r="E86" i="14"/>
  <c r="E100" i="14" s="1"/>
  <c r="D86" i="14"/>
  <c r="C86" i="14"/>
  <c r="C100" i="14" s="1"/>
  <c r="E85" i="14"/>
  <c r="E99" i="14" s="1"/>
  <c r="D85" i="14"/>
  <c r="D99" i="14" s="1"/>
  <c r="C85" i="14"/>
  <c r="C99" i="14" s="1"/>
  <c r="E84" i="14"/>
  <c r="E98" i="14" s="1"/>
  <c r="D84" i="14"/>
  <c r="D98" i="14" s="1"/>
  <c r="C84" i="14"/>
  <c r="E83" i="14"/>
  <c r="E97" i="14" s="1"/>
  <c r="D83" i="14"/>
  <c r="D97" i="14" s="1"/>
  <c r="C83" i="14"/>
  <c r="E82" i="14"/>
  <c r="E96" i="14" s="1"/>
  <c r="D82" i="14"/>
  <c r="D96" i="14" s="1"/>
  <c r="C82" i="14"/>
  <c r="C96" i="14" s="1"/>
  <c r="E81" i="14"/>
  <c r="E95" i="14" s="1"/>
  <c r="D81" i="14"/>
  <c r="D95" i="14" s="1"/>
  <c r="C81" i="14"/>
  <c r="C95" i="14" s="1"/>
  <c r="E80" i="14"/>
  <c r="E94" i="14" s="1"/>
  <c r="D80" i="14"/>
  <c r="C80" i="14"/>
  <c r="E79" i="14"/>
  <c r="E93" i="14" s="1"/>
  <c r="D79" i="14"/>
  <c r="C79" i="14"/>
  <c r="E78" i="14"/>
  <c r="E92" i="14" s="1"/>
  <c r="D78" i="14"/>
  <c r="C78" i="14"/>
  <c r="C92" i="14" s="1"/>
  <c r="E77" i="14"/>
  <c r="E91" i="14" s="1"/>
  <c r="D77" i="14"/>
  <c r="D91" i="14" s="1"/>
  <c r="C77" i="14"/>
  <c r="E76" i="14"/>
  <c r="E90" i="14" s="1"/>
  <c r="D76" i="14"/>
  <c r="D90" i="14" s="1"/>
  <c r="C76" i="14"/>
  <c r="E75" i="14"/>
  <c r="E89" i="14" s="1"/>
  <c r="D75" i="14"/>
  <c r="D89" i="14" s="1"/>
  <c r="C75" i="14"/>
  <c r="J74" i="14"/>
  <c r="G74" i="14"/>
  <c r="G76" i="14" s="1"/>
  <c r="F74" i="14"/>
  <c r="F76" i="14" s="1"/>
  <c r="J40" i="14"/>
  <c r="I40" i="14"/>
  <c r="H40" i="14"/>
  <c r="G40" i="14"/>
  <c r="F40" i="14"/>
  <c r="E38" i="14"/>
  <c r="E52" i="14" s="1"/>
  <c r="D38" i="14"/>
  <c r="D52" i="14" s="1"/>
  <c r="C38" i="14"/>
  <c r="C52" i="14" s="1"/>
  <c r="E37" i="14"/>
  <c r="D37" i="14"/>
  <c r="C37" i="14"/>
  <c r="E36" i="14"/>
  <c r="D36" i="14"/>
  <c r="C36" i="14"/>
  <c r="C50" i="14" s="1"/>
  <c r="E35" i="14"/>
  <c r="D35" i="14"/>
  <c r="C35" i="14"/>
  <c r="E34" i="14"/>
  <c r="E48" i="14" s="1"/>
  <c r="D34" i="14"/>
  <c r="D48" i="14" s="1"/>
  <c r="C34" i="14"/>
  <c r="E33" i="14"/>
  <c r="D33" i="14"/>
  <c r="C33" i="14"/>
  <c r="E32" i="14"/>
  <c r="D32" i="14"/>
  <c r="D46" i="14" s="1"/>
  <c r="C32" i="14"/>
  <c r="E31" i="14"/>
  <c r="D31" i="14"/>
  <c r="C31" i="14"/>
  <c r="E30" i="14"/>
  <c r="E44" i="14" s="1"/>
  <c r="D30" i="14"/>
  <c r="D44" i="14" s="1"/>
  <c r="C30" i="14"/>
  <c r="C44" i="14" s="1"/>
  <c r="E29" i="14"/>
  <c r="D29" i="14"/>
  <c r="C29" i="14"/>
  <c r="E28" i="14"/>
  <c r="D28" i="14"/>
  <c r="C28" i="14"/>
  <c r="E27" i="14"/>
  <c r="D27" i="14"/>
  <c r="C27" i="14"/>
  <c r="J26" i="14"/>
  <c r="J38" i="14" s="1"/>
  <c r="L3" i="14"/>
  <c r="B3" i="14"/>
  <c r="H66" i="11"/>
  <c r="G66" i="11"/>
  <c r="F66" i="11"/>
  <c r="E66" i="11"/>
  <c r="D66" i="11"/>
  <c r="C66" i="11"/>
  <c r="H65" i="11"/>
  <c r="G65" i="11"/>
  <c r="F65" i="11"/>
  <c r="E65" i="11"/>
  <c r="D65" i="11"/>
  <c r="C65" i="11"/>
  <c r="H64" i="11"/>
  <c r="G64" i="11"/>
  <c r="F64" i="11"/>
  <c r="E64" i="11"/>
  <c r="D64" i="11"/>
  <c r="C64" i="11"/>
  <c r="H63" i="11"/>
  <c r="G63" i="11"/>
  <c r="F63" i="11"/>
  <c r="E63" i="11"/>
  <c r="D63" i="11"/>
  <c r="C63" i="11"/>
  <c r="H62" i="11"/>
  <c r="G62" i="11"/>
  <c r="F62" i="11"/>
  <c r="E62" i="11"/>
  <c r="D62" i="11"/>
  <c r="C62" i="11"/>
  <c r="H61" i="11"/>
  <c r="G61" i="11"/>
  <c r="F61" i="11"/>
  <c r="E61" i="11"/>
  <c r="D61" i="11"/>
  <c r="C61" i="11"/>
  <c r="H60" i="11"/>
  <c r="G60" i="11"/>
  <c r="F60" i="11"/>
  <c r="E60" i="11"/>
  <c r="D60" i="11"/>
  <c r="C60" i="11"/>
  <c r="H59" i="11"/>
  <c r="G59" i="11"/>
  <c r="F59" i="11"/>
  <c r="E59" i="11"/>
  <c r="D59" i="11"/>
  <c r="C59" i="11"/>
  <c r="H58" i="11"/>
  <c r="G58" i="11"/>
  <c r="F58" i="11"/>
  <c r="E58" i="11"/>
  <c r="D58" i="11"/>
  <c r="C58" i="11"/>
  <c r="H57" i="11"/>
  <c r="G57" i="11"/>
  <c r="F57" i="11"/>
  <c r="E57" i="11"/>
  <c r="D57" i="11"/>
  <c r="C57" i="11"/>
  <c r="H56" i="11"/>
  <c r="G56" i="11"/>
  <c r="F56" i="11"/>
  <c r="E56" i="11"/>
  <c r="D56" i="11"/>
  <c r="C56" i="11"/>
  <c r="H55" i="11"/>
  <c r="G55" i="11"/>
  <c r="F55" i="11"/>
  <c r="E55" i="11"/>
  <c r="D55" i="11"/>
  <c r="C55" i="11"/>
  <c r="H54" i="11"/>
  <c r="G54" i="11"/>
  <c r="F54" i="11"/>
  <c r="E54" i="11"/>
  <c r="D54" i="11"/>
  <c r="C54" i="11"/>
  <c r="H53" i="11"/>
  <c r="G53" i="11"/>
  <c r="F53" i="11"/>
  <c r="E53" i="11"/>
  <c r="D53" i="11"/>
  <c r="C53" i="11"/>
  <c r="C52" i="11"/>
  <c r="B6" i="11"/>
  <c r="H3" i="11"/>
  <c r="B3" i="11"/>
  <c r="B2" i="15"/>
  <c r="E45" i="14" l="1"/>
  <c r="E42" i="14"/>
  <c r="D42" i="14"/>
  <c r="C89" i="14"/>
  <c r="C97" i="14"/>
  <c r="E43" i="14"/>
  <c r="E47" i="14"/>
  <c r="E51" i="14"/>
  <c r="C90" i="14"/>
  <c r="C94" i="14"/>
  <c r="C98" i="14"/>
  <c r="D50" i="14"/>
  <c r="E50" i="14"/>
  <c r="D41" i="14"/>
  <c r="D45" i="14"/>
  <c r="D49" i="14"/>
  <c r="E41" i="14"/>
  <c r="E49" i="14"/>
  <c r="C42" i="14"/>
  <c r="E46" i="14"/>
  <c r="C93" i="14"/>
  <c r="D43" i="14"/>
  <c r="D47" i="14"/>
  <c r="D51" i="14"/>
  <c r="J52" i="14"/>
  <c r="J34" i="14"/>
  <c r="J28" i="14"/>
  <c r="G78" i="14"/>
  <c r="F26" i="14"/>
  <c r="J30" i="14"/>
  <c r="C49" i="14"/>
  <c r="J86" i="14"/>
  <c r="J84" i="14"/>
  <c r="J82" i="14"/>
  <c r="J80" i="14"/>
  <c r="J85" i="14"/>
  <c r="J83" i="14"/>
  <c r="J81" i="14"/>
  <c r="J79" i="14"/>
  <c r="J77" i="14"/>
  <c r="I74" i="14"/>
  <c r="J78" i="14"/>
  <c r="J75" i="14"/>
  <c r="H74" i="14"/>
  <c r="I26" i="14"/>
  <c r="J37" i="14"/>
  <c r="J35" i="14"/>
  <c r="J33" i="14"/>
  <c r="J31" i="14"/>
  <c r="J29" i="14"/>
  <c r="J27" i="14"/>
  <c r="H26" i="14"/>
  <c r="F86" i="14"/>
  <c r="F100" i="14" s="1"/>
  <c r="F84" i="14"/>
  <c r="F98" i="14" s="1"/>
  <c r="F82" i="14"/>
  <c r="F80" i="14"/>
  <c r="F94" i="14" s="1"/>
  <c r="F85" i="14"/>
  <c r="F99" i="14" s="1"/>
  <c r="F83" i="14"/>
  <c r="F97" i="14" s="1"/>
  <c r="F81" i="14"/>
  <c r="F95" i="14" s="1"/>
  <c r="F79" i="14"/>
  <c r="F78" i="14"/>
  <c r="F77" i="14"/>
  <c r="F75" i="14"/>
  <c r="L74" i="14"/>
  <c r="J36" i="14"/>
  <c r="C41" i="14"/>
  <c r="C43" i="14"/>
  <c r="C45" i="14"/>
  <c r="C46" i="14"/>
  <c r="C47" i="14"/>
  <c r="C48" i="14"/>
  <c r="G85" i="14"/>
  <c r="G83" i="14"/>
  <c r="G81" i="14"/>
  <c r="G79" i="14"/>
  <c r="G77" i="14"/>
  <c r="G75" i="14"/>
  <c r="G86" i="14"/>
  <c r="G100" i="14" s="1"/>
  <c r="G84" i="14"/>
  <c r="G82" i="14"/>
  <c r="G26" i="14"/>
  <c r="J32" i="14"/>
  <c r="C51" i="14"/>
  <c r="J76" i="14"/>
  <c r="G80" i="14"/>
  <c r="G182" i="14"/>
  <c r="G180" i="14"/>
  <c r="G183" i="14"/>
  <c r="L206" i="14"/>
  <c r="L212" i="14"/>
  <c r="K212" i="14"/>
  <c r="I151" i="14"/>
  <c r="J154" i="14"/>
  <c r="J152" i="14"/>
  <c r="H151" i="14"/>
  <c r="G151" i="14"/>
  <c r="J155" i="14"/>
  <c r="L183" i="14"/>
  <c r="K183" i="14"/>
  <c r="L128" i="14"/>
  <c r="F154" i="14"/>
  <c r="F152" i="14"/>
  <c r="L151" i="14"/>
  <c r="F155" i="14"/>
  <c r="C91" i="14"/>
  <c r="G129" i="14"/>
  <c r="G127" i="14"/>
  <c r="G125" i="14"/>
  <c r="G128" i="14"/>
  <c r="F153" i="14"/>
  <c r="L153" i="14" s="1"/>
  <c r="G181" i="14"/>
  <c r="G212" i="14"/>
  <c r="I213" i="14"/>
  <c r="I88" i="14"/>
  <c r="H124" i="14"/>
  <c r="L124" i="14"/>
  <c r="F125" i="14"/>
  <c r="J125" i="14"/>
  <c r="F127" i="14"/>
  <c r="J127" i="14"/>
  <c r="F129" i="14"/>
  <c r="J129" i="14"/>
  <c r="H179" i="14"/>
  <c r="L179" i="14"/>
  <c r="F180" i="14"/>
  <c r="J180" i="14"/>
  <c r="F182" i="14"/>
  <c r="J182" i="14"/>
  <c r="I205" i="14"/>
  <c r="H210" i="14"/>
  <c r="L210" i="14"/>
  <c r="F211" i="14"/>
  <c r="J211" i="14"/>
  <c r="F213" i="14"/>
  <c r="J213" i="14"/>
  <c r="I126" i="14"/>
  <c r="I181" i="14"/>
  <c r="G211" i="14"/>
  <c r="F126" i="14"/>
  <c r="J126" i="14"/>
  <c r="F181" i="14"/>
  <c r="J181" i="14"/>
  <c r="G96" i="14" l="1"/>
  <c r="G98" i="14"/>
  <c r="F96" i="14"/>
  <c r="G92" i="14"/>
  <c r="G91" i="14"/>
  <c r="G93" i="14"/>
  <c r="F89" i="14"/>
  <c r="F91" i="14"/>
  <c r="F92" i="14"/>
  <c r="G90" i="14"/>
  <c r="G99" i="14"/>
  <c r="F93" i="14"/>
  <c r="L180" i="14"/>
  <c r="K180" i="14"/>
  <c r="L125" i="14"/>
  <c r="K125" i="14"/>
  <c r="L152" i="14"/>
  <c r="J90" i="14"/>
  <c r="L76" i="14"/>
  <c r="J47" i="14"/>
  <c r="L33" i="14"/>
  <c r="H85" i="14"/>
  <c r="H83" i="14"/>
  <c r="H97" i="14" s="1"/>
  <c r="H81" i="14"/>
  <c r="H95" i="14" s="1"/>
  <c r="H79" i="14"/>
  <c r="H86" i="14"/>
  <c r="H100" i="14" s="1"/>
  <c r="H84" i="14"/>
  <c r="H82" i="14"/>
  <c r="H80" i="14"/>
  <c r="H78" i="14"/>
  <c r="H76" i="14"/>
  <c r="H75" i="14"/>
  <c r="H89" i="14" s="1"/>
  <c r="H77" i="14"/>
  <c r="H91" i="14" s="1"/>
  <c r="L85" i="14"/>
  <c r="J99" i="14"/>
  <c r="K85" i="14"/>
  <c r="K154" i="14"/>
  <c r="L154" i="14"/>
  <c r="J49" i="14"/>
  <c r="L79" i="14"/>
  <c r="J93" i="14"/>
  <c r="J42" i="14"/>
  <c r="L182" i="14"/>
  <c r="K182" i="14"/>
  <c r="L127" i="14"/>
  <c r="K127" i="14"/>
  <c r="G154" i="14"/>
  <c r="G152" i="14"/>
  <c r="G155" i="14"/>
  <c r="G153" i="14"/>
  <c r="I155" i="14"/>
  <c r="I153" i="14"/>
  <c r="K153" i="14" s="1"/>
  <c r="I154" i="14"/>
  <c r="I152" i="14"/>
  <c r="K152" i="14" s="1"/>
  <c r="K151" i="14"/>
  <c r="J46" i="14"/>
  <c r="G95" i="14"/>
  <c r="J43" i="14"/>
  <c r="J51" i="14"/>
  <c r="K37" i="14"/>
  <c r="J92" i="14"/>
  <c r="L78" i="14"/>
  <c r="L81" i="14"/>
  <c r="J95" i="14"/>
  <c r="K81" i="14"/>
  <c r="J96" i="14"/>
  <c r="L82" i="14"/>
  <c r="J44" i="14"/>
  <c r="L30" i="14"/>
  <c r="J48" i="14"/>
  <c r="L34" i="14"/>
  <c r="K34" i="14"/>
  <c r="L211" i="14"/>
  <c r="K211" i="14"/>
  <c r="L129" i="14"/>
  <c r="K129" i="14"/>
  <c r="H38" i="14"/>
  <c r="H52" i="14" s="1"/>
  <c r="H36" i="14"/>
  <c r="H34" i="14"/>
  <c r="H48" i="14" s="1"/>
  <c r="H32" i="14"/>
  <c r="H46" i="14" s="1"/>
  <c r="H30" i="14"/>
  <c r="H44" i="14" s="1"/>
  <c r="H28" i="14"/>
  <c r="H42" i="14" s="1"/>
  <c r="H31" i="14"/>
  <c r="H45" i="14" s="1"/>
  <c r="H35" i="14"/>
  <c r="H49" i="14" s="1"/>
  <c r="H37" i="14"/>
  <c r="H51" i="14" s="1"/>
  <c r="H29" i="14"/>
  <c r="H43" i="14" s="1"/>
  <c r="H27" i="14"/>
  <c r="H41" i="14" s="1"/>
  <c r="H33" i="14"/>
  <c r="J91" i="14"/>
  <c r="L77" i="14"/>
  <c r="J100" i="14"/>
  <c r="L86" i="14"/>
  <c r="L126" i="14"/>
  <c r="K126" i="14"/>
  <c r="I206" i="14"/>
  <c r="K206" i="14" s="1"/>
  <c r="K205" i="14"/>
  <c r="L155" i="14"/>
  <c r="K155" i="14"/>
  <c r="J41" i="14"/>
  <c r="J89" i="14"/>
  <c r="L75" i="14"/>
  <c r="J94" i="14"/>
  <c r="L80" i="14"/>
  <c r="L213" i="14"/>
  <c r="K213" i="14"/>
  <c r="L181" i="14"/>
  <c r="K181" i="14"/>
  <c r="H213" i="14"/>
  <c r="H211" i="14"/>
  <c r="H212" i="14"/>
  <c r="H182" i="14"/>
  <c r="H180" i="14"/>
  <c r="H183" i="14"/>
  <c r="H181" i="14"/>
  <c r="H129" i="14"/>
  <c r="H127" i="14"/>
  <c r="H125" i="14"/>
  <c r="H128" i="14"/>
  <c r="H126" i="14"/>
  <c r="H155" i="14"/>
  <c r="H153" i="14"/>
  <c r="H152" i="14"/>
  <c r="H154" i="14"/>
  <c r="G94" i="14"/>
  <c r="G37" i="14"/>
  <c r="G35" i="14"/>
  <c r="G33" i="14"/>
  <c r="G31" i="14"/>
  <c r="G29" i="14"/>
  <c r="G27" i="14"/>
  <c r="G34" i="14"/>
  <c r="G38" i="14"/>
  <c r="G52" i="14" s="1"/>
  <c r="G28" i="14"/>
  <c r="G32" i="14"/>
  <c r="G30" i="14"/>
  <c r="G36" i="14"/>
  <c r="G89" i="14"/>
  <c r="G97" i="14"/>
  <c r="J50" i="14"/>
  <c r="J45" i="14"/>
  <c r="I38" i="14"/>
  <c r="I36" i="14"/>
  <c r="I50" i="14" s="1"/>
  <c r="I34" i="14"/>
  <c r="I32" i="14"/>
  <c r="I30" i="14"/>
  <c r="I28" i="14"/>
  <c r="I37" i="14"/>
  <c r="I29" i="14"/>
  <c r="I33" i="14"/>
  <c r="I35" i="14"/>
  <c r="I27" i="14"/>
  <c r="K27" i="14" s="1"/>
  <c r="K26" i="14"/>
  <c r="I31" i="14"/>
  <c r="I45" i="14" s="1"/>
  <c r="I86" i="14"/>
  <c r="I100" i="14" s="1"/>
  <c r="I76" i="14"/>
  <c r="I84" i="14"/>
  <c r="K84" i="14" s="1"/>
  <c r="I82" i="14"/>
  <c r="K82" i="14" s="1"/>
  <c r="I80" i="14"/>
  <c r="I83" i="14"/>
  <c r="K83" i="14" s="1"/>
  <c r="I81" i="14"/>
  <c r="K74" i="14"/>
  <c r="I77" i="14"/>
  <c r="I75" i="14"/>
  <c r="I85" i="14"/>
  <c r="I79" i="14"/>
  <c r="I78" i="14"/>
  <c r="I92" i="14" s="1"/>
  <c r="L83" i="14"/>
  <c r="J97" i="14"/>
  <c r="J98" i="14"/>
  <c r="L84" i="14"/>
  <c r="F37" i="14"/>
  <c r="F35" i="14"/>
  <c r="F33" i="14"/>
  <c r="F31" i="14"/>
  <c r="F29" i="14"/>
  <c r="F27" i="14"/>
  <c r="L26" i="14"/>
  <c r="F36" i="14"/>
  <c r="F28" i="14"/>
  <c r="F32" i="14"/>
  <c r="F38" i="14"/>
  <c r="F34" i="14"/>
  <c r="F30" i="14"/>
  <c r="F90" i="14"/>
  <c r="G48" i="14" l="1"/>
  <c r="F49" i="14"/>
  <c r="G41" i="14"/>
  <c r="F43" i="14"/>
  <c r="H90" i="14"/>
  <c r="I91" i="14"/>
  <c r="I49" i="14"/>
  <c r="G49" i="14"/>
  <c r="H92" i="14"/>
  <c r="F44" i="14"/>
  <c r="F51" i="14"/>
  <c r="I47" i="14"/>
  <c r="G51" i="14"/>
  <c r="H94" i="14"/>
  <c r="G50" i="14"/>
  <c r="H47" i="14"/>
  <c r="H96" i="14"/>
  <c r="G44" i="14"/>
  <c r="H98" i="14"/>
  <c r="F41" i="14"/>
  <c r="G43" i="14"/>
  <c r="F46" i="14"/>
  <c r="I94" i="14"/>
  <c r="I42" i="14"/>
  <c r="G46" i="14"/>
  <c r="F42" i="14"/>
  <c r="I44" i="14"/>
  <c r="G42" i="14"/>
  <c r="H93" i="14"/>
  <c r="K78" i="14"/>
  <c r="I93" i="14"/>
  <c r="K33" i="14"/>
  <c r="F48" i="14"/>
  <c r="F50" i="14"/>
  <c r="F45" i="14"/>
  <c r="I99" i="14"/>
  <c r="I95" i="14"/>
  <c r="I98" i="14"/>
  <c r="I43" i="14"/>
  <c r="I46" i="14"/>
  <c r="L31" i="14"/>
  <c r="L36" i="14"/>
  <c r="G45" i="14"/>
  <c r="K86" i="14"/>
  <c r="H50" i="14"/>
  <c r="L29" i="14"/>
  <c r="K32" i="14"/>
  <c r="K28" i="14"/>
  <c r="L35" i="14"/>
  <c r="I96" i="14"/>
  <c r="I52" i="14"/>
  <c r="K38" i="14"/>
  <c r="K36" i="14"/>
  <c r="L27" i="14"/>
  <c r="K77" i="14"/>
  <c r="K79" i="14"/>
  <c r="K35" i="14"/>
  <c r="F52" i="14"/>
  <c r="L38" i="14"/>
  <c r="F47" i="14"/>
  <c r="I89" i="14"/>
  <c r="I97" i="14"/>
  <c r="I90" i="14"/>
  <c r="I41" i="14"/>
  <c r="I51" i="14"/>
  <c r="I48" i="14"/>
  <c r="K31" i="14"/>
  <c r="G47" i="14"/>
  <c r="K80" i="14"/>
  <c r="K75" i="14"/>
  <c r="K30" i="14"/>
  <c r="L37" i="14"/>
  <c r="K29" i="14"/>
  <c r="L32" i="14"/>
  <c r="L28" i="14"/>
  <c r="H99" i="14"/>
  <c r="K76" i="14"/>
</calcChain>
</file>

<file path=xl/sharedStrings.xml><?xml version="1.0" encoding="utf-8"?>
<sst xmlns="http://schemas.openxmlformats.org/spreadsheetml/2006/main" count="322" uniqueCount="156">
  <si>
    <t>country Name</t>
  </si>
  <si>
    <t>Max Year</t>
  </si>
  <si>
    <t>Under construction capacity</t>
  </si>
  <si>
    <t>Update date</t>
  </si>
  <si>
    <t>Unit</t>
  </si>
  <si>
    <t>operational</t>
  </si>
  <si>
    <t>operationalShare</t>
  </si>
  <si>
    <t>ucapproved</t>
  </si>
  <si>
    <t>ucapprovedShare</t>
  </si>
  <si>
    <t>planned</t>
  </si>
  <si>
    <t>plannedShare</t>
  </si>
  <si>
    <t>Based on data from the Power Plant Tracker service</t>
  </si>
  <si>
    <t>www.enerdata.net</t>
  </si>
  <si>
    <t xml:space="preserve">© Copyright Enerdata. Reproduction and diffusion prohibited (web, photocopy, intranet...) without written permission. </t>
  </si>
  <si>
    <t>Contents</t>
  </si>
  <si>
    <t>Intro</t>
  </si>
  <si>
    <t>Introduction worksheet</t>
  </si>
  <si>
    <t>New capacities</t>
  </si>
  <si>
    <t>Current power mix, installed capacity at date, capacity under construction and under development</t>
  </si>
  <si>
    <t>Power Sector Performances</t>
  </si>
  <si>
    <r>
      <t>Historical data on installed capacity, power generation, thermal power plants inputs, average thermal power plant efficiency, CO</t>
    </r>
    <r>
      <rPr>
        <i/>
        <vertAlign val="subscript"/>
        <sz val="8"/>
        <color theme="1" tint="0.14996795556505021"/>
        <rFont val="Verdana"/>
        <family val="2"/>
        <scheme val="minor"/>
      </rPr>
      <t>2</t>
    </r>
    <r>
      <rPr>
        <i/>
        <sz val="8"/>
        <color theme="1" tint="0.14999847407452621"/>
        <rFont val="Verdana"/>
        <family val="2"/>
        <scheme val="minor"/>
      </rPr>
      <t xml:space="preserve"> emissions of the power sector, carbon factor of the power sector</t>
    </r>
  </si>
  <si>
    <t>Services</t>
  </si>
  <si>
    <t>Overview of Enerdata's information services</t>
  </si>
  <si>
    <t>Power Plants Technology Mix</t>
  </si>
  <si>
    <t>Energy</t>
  </si>
  <si>
    <t>Share</t>
  </si>
  <si>
    <t>Under construction (MW)</t>
  </si>
  <si>
    <t>Under development (MW)</t>
  </si>
  <si>
    <t>Nuclear</t>
  </si>
  <si>
    <t>Thermal</t>
  </si>
  <si>
    <t>Coal/Lignite</t>
  </si>
  <si>
    <t>Gas</t>
  </si>
  <si>
    <t>Oil</t>
  </si>
  <si>
    <t>Biomass</t>
  </si>
  <si>
    <t>Unspecified</t>
  </si>
  <si>
    <t>Renewables (Excl. Biomass)</t>
  </si>
  <si>
    <t>Hydro</t>
  </si>
  <si>
    <t>Wind</t>
  </si>
  <si>
    <t>Solar*</t>
  </si>
  <si>
    <t>Geothermal, Marine, etc</t>
  </si>
  <si>
    <t>Total</t>
  </si>
  <si>
    <t>of which carbon free technologies</t>
  </si>
  <si>
    <t>Under development: Announced, Submitted, Authorized, Bidding process, PPA signed, FID</t>
  </si>
  <si>
    <t>Under construction: Under construction, Suspended construction, Synchronized</t>
  </si>
  <si>
    <t xml:space="preserve">*: under construction and under development solar capacities covered utility-scale installations only, i.e. capacity related to distributed systems are not covered. </t>
  </si>
  <si>
    <t>Source: Enerdata - www.enerdata.net</t>
  </si>
  <si>
    <t>Installed capacities (MW)</t>
  </si>
  <si>
    <t>MW</t>
  </si>
  <si>
    <t>Solar</t>
  </si>
  <si>
    <t>Share (%)</t>
  </si>
  <si>
    <t>Power generation (GWh)</t>
  </si>
  <si>
    <t>GWh</t>
  </si>
  <si>
    <t>Efficiency</t>
  </si>
  <si>
    <t>Thermal power plants inputs (ktoe)</t>
  </si>
  <si>
    <t>*: Energy consumed by power plants for power generation</t>
  </si>
  <si>
    <t>ktoe</t>
  </si>
  <si>
    <t>Average power plants efficiency (%)</t>
  </si>
  <si>
    <t>%</t>
  </si>
  <si>
    <t>Global efficiency</t>
  </si>
  <si>
    <t>Thermal efficiency</t>
  </si>
  <si>
    <t>Efficiency of coal power plants</t>
  </si>
  <si>
    <t>Efficiency of gas power plants</t>
  </si>
  <si>
    <r>
      <t>CO</t>
    </r>
    <r>
      <rPr>
        <b/>
        <vertAlign val="subscript"/>
        <sz val="9"/>
        <color theme="0"/>
        <rFont val="Verdana"/>
        <family val="2"/>
        <scheme val="minor"/>
      </rPr>
      <t>2</t>
    </r>
  </si>
  <si>
    <r>
      <t>CO</t>
    </r>
    <r>
      <rPr>
        <b/>
        <vertAlign val="subscript"/>
        <sz val="9"/>
        <color theme="1" tint="0.14996795556505021"/>
        <rFont val="Verdana"/>
        <family val="2"/>
        <scheme val="minor"/>
      </rPr>
      <t>2</t>
    </r>
    <r>
      <rPr>
        <b/>
        <sz val="9"/>
        <color theme="1" tint="0.14999847407452621"/>
        <rFont val="Verdana"/>
        <family val="2"/>
        <scheme val="minor"/>
      </rPr>
      <t xml:space="preserve"> emissions of the power sector (ktCO</t>
    </r>
    <r>
      <rPr>
        <b/>
        <vertAlign val="subscript"/>
        <sz val="9"/>
        <color theme="1" tint="0.14996795556505021"/>
        <rFont val="Verdana"/>
        <family val="2"/>
        <scheme val="minor"/>
      </rPr>
      <t>2</t>
    </r>
    <r>
      <rPr>
        <b/>
        <sz val="9"/>
        <color theme="1" tint="0.14999847407452621"/>
        <rFont val="Verdana"/>
        <family val="2"/>
        <scheme val="minor"/>
      </rPr>
      <t>)</t>
    </r>
  </si>
  <si>
    <r>
      <t>ktCO</t>
    </r>
    <r>
      <rPr>
        <b/>
        <vertAlign val="subscript"/>
        <sz val="8"/>
        <color theme="0"/>
        <rFont val="Verdana"/>
        <family val="2"/>
        <scheme val="minor"/>
      </rPr>
      <t>2</t>
    </r>
  </si>
  <si>
    <t>Carbon factor of the power sector (gCO2/KWh)</t>
  </si>
  <si>
    <r>
      <t>gCO</t>
    </r>
    <r>
      <rPr>
        <b/>
        <vertAlign val="subscript"/>
        <sz val="8"/>
        <color theme="0"/>
        <rFont val="Verdana"/>
        <family val="2"/>
        <scheme val="minor"/>
      </rPr>
      <t>2</t>
    </r>
    <r>
      <rPr>
        <b/>
        <sz val="8"/>
        <color theme="0"/>
        <rFont val="Verdana"/>
        <family val="2"/>
        <scheme val="minor"/>
      </rPr>
      <t>/KWh</t>
    </r>
  </si>
  <si>
    <t>Carbon factor of the power sector</t>
  </si>
  <si>
    <t>Indicators</t>
  </si>
  <si>
    <t>Installed capacity per capita (MW/Mhab)</t>
  </si>
  <si>
    <t>Load factor of total installed capacity (hours/year)</t>
  </si>
  <si>
    <t>Share of CHP in total electricity consumption (%)</t>
  </si>
  <si>
    <t>Enerdata Information Services</t>
  </si>
  <si>
    <t>The One-Stop-Shop for Global Energy Expertise</t>
  </si>
  <si>
    <t>Schedule Demo</t>
  </si>
  <si>
    <t>Contact us</t>
  </si>
  <si>
    <t>Global Energy Research</t>
  </si>
  <si>
    <t>Free trial version</t>
  </si>
  <si>
    <t>Key Energy Intelligence</t>
  </si>
  <si>
    <t>The Only Source You Need for Analyses, Presentations and Research</t>
  </si>
  <si>
    <t>EnerMonthly: Monthly Energy Database</t>
  </si>
  <si>
    <t>Power Plant Tracker</t>
  </si>
  <si>
    <t>The Most Up-to-Date Power Generation Database</t>
  </si>
  <si>
    <t>World LNG Database</t>
  </si>
  <si>
    <t>The Essentials of LNG Trade</t>
  </si>
  <si>
    <t>World Refinery Database</t>
  </si>
  <si>
    <t>Monitor New and Existing Refineries Globally</t>
  </si>
  <si>
    <t>Global Energy Forecasts: EnerFuture</t>
  </si>
  <si>
    <t>Global and Country-level Energy Forecasts through 2050</t>
  </si>
  <si>
    <t>Odyssee: Energy Efficiency Database</t>
  </si>
  <si>
    <t>European Energy Efficiency and Demand Database</t>
  </si>
  <si>
    <t xml:space="preserve">Energy Research </t>
  </si>
  <si>
    <t>110 Energy and Climate Country Reports</t>
  </si>
  <si>
    <t>Global Energy News and Analyses Curated Daily</t>
  </si>
  <si>
    <t xml:space="preserve">Energy Data &amp; Forecasts </t>
  </si>
  <si>
    <t>Global Hydrogen Companies Database</t>
  </si>
  <si>
    <t xml:space="preserve">Energy Efficiency &amp; Demand </t>
  </si>
  <si>
    <t>World energy efficiency and demand database: EnerDemand</t>
  </si>
  <si>
    <t xml:space="preserve">Energy Infrastructure </t>
  </si>
  <si>
    <t>Ghana</t>
  </si>
  <si>
    <t>12-2024</t>
  </si>
  <si>
    <t/>
  </si>
  <si>
    <t>cmbelerend</t>
  </si>
  <si>
    <t>cmsie</t>
  </si>
  <si>
    <t>ktep</t>
  </si>
  <si>
    <t>co2ieelepd</t>
  </si>
  <si>
    <t>gCO2/kWh</t>
  </si>
  <si>
    <t>co2iepu</t>
  </si>
  <si>
    <t>ktCO2</t>
  </si>
  <si>
    <t>co2iepucms</t>
  </si>
  <si>
    <t>co2iepugaz</t>
  </si>
  <si>
    <t>co2iepupet</t>
  </si>
  <si>
    <t>eanmw</t>
  </si>
  <si>
    <t>ebipd</t>
  </si>
  <si>
    <t>ecmpd</t>
  </si>
  <si>
    <t>edvpd</t>
  </si>
  <si>
    <t>eeomw</t>
  </si>
  <si>
    <t>eeopd</t>
  </si>
  <si>
    <t>egzpd</t>
  </si>
  <si>
    <t>ehymw</t>
  </si>
  <si>
    <t>ehypd</t>
  </si>
  <si>
    <t>elemw</t>
  </si>
  <si>
    <t>elemwpop</t>
  </si>
  <si>
    <t>W/hab</t>
  </si>
  <si>
    <t>elepd</t>
  </si>
  <si>
    <t>encie</t>
  </si>
  <si>
    <t>enumw</t>
  </si>
  <si>
    <t>enupd</t>
  </si>
  <si>
    <t>eptpd</t>
  </si>
  <si>
    <t>etcmw</t>
  </si>
  <si>
    <t>etgmw</t>
  </si>
  <si>
    <t>ethmw</t>
  </si>
  <si>
    <t>ethpd</t>
  </si>
  <si>
    <t>etpmw</t>
  </si>
  <si>
    <t>gazelerend</t>
  </si>
  <si>
    <t>gazie</t>
  </si>
  <si>
    <t>petie</t>
  </si>
  <si>
    <t>rendele</t>
  </si>
  <si>
    <t>solmw</t>
  </si>
  <si>
    <t>tutele</t>
  </si>
  <si>
    <t>heures</t>
  </si>
  <si>
    <t>enrmw</t>
  </si>
  <si>
    <t>enomw</t>
  </si>
  <si>
    <t>enrpd</t>
  </si>
  <si>
    <t>enopd</t>
  </si>
  <si>
    <t>totie</t>
  </si>
  <si>
    <r>
      <t>Global Energy &amp; CO</t>
    </r>
    <r>
      <rPr>
        <b/>
        <vertAlign val="subscript"/>
        <sz val="14"/>
        <color theme="1"/>
        <rFont val="Verdana"/>
        <family val="2"/>
      </rPr>
      <t>2</t>
    </r>
    <r>
      <rPr>
        <b/>
        <sz val="14"/>
        <color theme="1"/>
        <rFont val="Verdana"/>
        <family val="2"/>
      </rPr>
      <t xml:space="preserve"> Data</t>
    </r>
  </si>
  <si>
    <r>
      <t>Monitoring of Technology Providers in H</t>
    </r>
    <r>
      <rPr>
        <vertAlign val="subscript"/>
        <sz val="11"/>
        <color theme="1" tint="0.499984740745262"/>
        <rFont val="Verdana"/>
        <family val="2"/>
      </rPr>
      <t>2</t>
    </r>
    <r>
      <rPr>
        <sz val="11"/>
        <color theme="1" tint="0.499984740745262"/>
        <rFont val="Verdana"/>
        <family val="2"/>
      </rPr>
      <t xml:space="preserve"> Supply Chain</t>
    </r>
  </si>
  <si>
    <t>Power Price Projections</t>
  </si>
  <si>
    <t>Annual Projections of Wholesale Prices Up to 2050</t>
  </si>
  <si>
    <t>Monthly Energy Data on Key Energy Markets</t>
  </si>
  <si>
    <t>World Energy Efficiency and Demand Database</t>
  </si>
  <si>
    <t>Granular Energy Demand Forecast</t>
  </si>
  <si>
    <t>Unique, Independent Projections of Consumption by End-use</t>
  </si>
  <si>
    <r>
      <t>H</t>
    </r>
    <r>
      <rPr>
        <b/>
        <vertAlign val="subscript"/>
        <sz val="14"/>
        <color rgb="FF101010"/>
        <rFont val="Verdana"/>
        <family val="2"/>
      </rPr>
      <t>2</t>
    </r>
    <r>
      <rPr>
        <b/>
        <sz val="14"/>
        <color rgb="FF101010"/>
        <rFont val="Verdana"/>
        <family val="2"/>
      </rPr>
      <t xml:space="preserve"> and Derivatives Projects Database</t>
    </r>
  </si>
  <si>
    <t>Monitoring of Emerging Hydrogen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</si>
</sst>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3" x14ac:knownFonts="1">
    <font>
      <sz val="8"/>
      <color theme="1" tint="0.14996795556505021"/>
      <name val="Verdana"/>
      <family val="2"/>
      <scheme val="minor"/>
    </font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sz val="18"/>
      <color theme="3"/>
      <name val="Verdana"/>
      <family val="2"/>
      <scheme val="major"/>
    </font>
    <font>
      <b/>
      <sz val="15"/>
      <color theme="3"/>
      <name val="Verdana"/>
      <family val="2"/>
      <scheme val="minor"/>
    </font>
    <font>
      <b/>
      <sz val="13"/>
      <color theme="3"/>
      <name val="Verdana"/>
      <family val="2"/>
      <scheme val="minor"/>
    </font>
    <font>
      <b/>
      <sz val="11"/>
      <color theme="3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  <font>
      <sz val="8"/>
      <color rgb="FF9C0006"/>
      <name val="Verdana"/>
      <family val="2"/>
      <scheme val="minor"/>
    </font>
    <font>
      <sz val="8"/>
      <color rgb="FF9C5700"/>
      <name val="Verdana"/>
      <family val="2"/>
      <scheme val="minor"/>
    </font>
    <font>
      <sz val="8"/>
      <color rgb="FF006100"/>
      <name val="Verdana"/>
      <family val="2"/>
      <scheme val="minor"/>
    </font>
    <font>
      <b/>
      <sz val="18"/>
      <color theme="0"/>
      <name val="Verdana"/>
      <family val="2"/>
      <scheme val="minor"/>
    </font>
    <font>
      <b/>
      <sz val="8"/>
      <color theme="0"/>
      <name val="Verdana"/>
      <family val="2"/>
      <scheme val="minor"/>
    </font>
    <font>
      <b/>
      <i/>
      <sz val="10"/>
      <color theme="4" tint="-0.24994659260841701"/>
      <name val="Verdana"/>
      <family val="2"/>
      <scheme val="minor"/>
    </font>
    <font>
      <u/>
      <sz val="8"/>
      <color theme="10"/>
      <name val="Verdana"/>
      <family val="2"/>
      <scheme val="minor"/>
    </font>
    <font>
      <sz val="8"/>
      <color theme="0"/>
      <name val="Verdana"/>
      <family val="2"/>
      <scheme val="minor"/>
    </font>
    <font>
      <b/>
      <i/>
      <sz val="10"/>
      <color theme="4" tint="-0.249977111117893"/>
      <name val="Verdana"/>
      <family val="2"/>
      <scheme val="minor"/>
    </font>
    <font>
      <b/>
      <sz val="16"/>
      <color theme="0"/>
      <name val="Verdana"/>
      <family val="2"/>
      <scheme val="minor"/>
    </font>
    <font>
      <b/>
      <sz val="9"/>
      <color theme="4"/>
      <name val="Verdana"/>
      <family val="2"/>
      <scheme val="minor"/>
    </font>
    <font>
      <sz val="8"/>
      <color theme="1" tint="0.14996795556505021"/>
      <name val="Verdana"/>
      <family val="2"/>
      <scheme val="minor"/>
    </font>
    <font>
      <b/>
      <sz val="8"/>
      <color theme="1" tint="0.14996795556505021"/>
      <name val="Verdana"/>
      <family val="2"/>
      <scheme val="minor"/>
    </font>
    <font>
      <sz val="8"/>
      <name val="Verdana"/>
      <family val="2"/>
      <scheme val="minor"/>
    </font>
    <font>
      <sz val="8"/>
      <color theme="10"/>
      <name val="Verdana"/>
      <family val="2"/>
      <scheme val="minor"/>
    </font>
    <font>
      <sz val="10"/>
      <color rgb="FF000000"/>
      <name val="Calibri"/>
      <family val="2"/>
    </font>
    <font>
      <b/>
      <sz val="9"/>
      <color theme="0"/>
      <name val="Verdana"/>
      <family val="2"/>
      <scheme val="minor"/>
    </font>
    <font>
      <b/>
      <sz val="9"/>
      <color theme="1" tint="0.14996795556505021"/>
      <name val="Verdana"/>
      <family val="2"/>
      <scheme val="minor"/>
    </font>
    <font>
      <b/>
      <i/>
      <sz val="8"/>
      <color theme="0"/>
      <name val="Verdana"/>
      <family val="2"/>
      <scheme val="minor"/>
    </font>
    <font>
      <b/>
      <sz val="9"/>
      <color theme="1" tint="0.14999847407452621"/>
      <name val="Verdana"/>
      <family val="2"/>
      <scheme val="minor"/>
    </font>
    <font>
      <b/>
      <vertAlign val="subscript"/>
      <sz val="9"/>
      <color theme="0"/>
      <name val="Verdana"/>
      <family val="2"/>
      <scheme val="minor"/>
    </font>
    <font>
      <b/>
      <vertAlign val="subscript"/>
      <sz val="9"/>
      <color theme="1" tint="0.14996795556505021"/>
      <name val="Verdana"/>
      <family val="2"/>
      <scheme val="minor"/>
    </font>
    <font>
      <b/>
      <vertAlign val="subscript"/>
      <sz val="8"/>
      <color theme="0"/>
      <name val="Verdana"/>
      <family val="2"/>
      <scheme val="minor"/>
    </font>
    <font>
      <b/>
      <sz val="20"/>
      <color theme="0"/>
      <name val="Verdana"/>
      <family val="2"/>
      <scheme val="minor"/>
    </font>
    <font>
      <sz val="8"/>
      <color theme="5" tint="-0.249977111117893"/>
      <name val="Verdana"/>
      <family val="2"/>
      <scheme val="minor"/>
    </font>
    <font>
      <u/>
      <sz val="8"/>
      <color theme="5"/>
      <name val="Verdana"/>
      <family val="2"/>
      <scheme val="minor"/>
    </font>
    <font>
      <u/>
      <sz val="8"/>
      <color theme="0"/>
      <name val="Verdana"/>
      <family val="2"/>
      <scheme val="minor"/>
    </font>
    <font>
      <i/>
      <sz val="8"/>
      <color theme="1" tint="0.14999847407452621"/>
      <name val="Verdana"/>
      <family val="2"/>
      <scheme val="minor"/>
    </font>
    <font>
      <i/>
      <sz val="8"/>
      <name val="Verdana"/>
      <family val="2"/>
      <scheme val="minor"/>
    </font>
    <font>
      <b/>
      <sz val="8"/>
      <color theme="1"/>
      <name val="Verdana"/>
      <family val="2"/>
      <scheme val="minor"/>
    </font>
    <font>
      <i/>
      <vertAlign val="subscript"/>
      <sz val="8"/>
      <color theme="1" tint="0.14996795556505021"/>
      <name val="Verdana"/>
      <family val="2"/>
      <scheme val="minor"/>
    </font>
    <font>
      <sz val="10"/>
      <color theme="0"/>
      <name val="Verdana"/>
      <family val="2"/>
      <scheme val="minor"/>
    </font>
    <font>
      <b/>
      <sz val="8"/>
      <color theme="4" tint="-0.249977111117893"/>
      <name val="Verdana"/>
      <family val="2"/>
      <scheme val="minor"/>
    </font>
    <font>
      <b/>
      <sz val="16"/>
      <color rgb="FFFFFFFF"/>
      <name val="Verdana"/>
      <family val="2"/>
    </font>
    <font>
      <b/>
      <i/>
      <sz val="10"/>
      <color rgb="FF07576B"/>
      <name val="Verdana"/>
      <family val="2"/>
    </font>
    <font>
      <u/>
      <sz val="8"/>
      <color rgb="FFEC6625"/>
      <name val="Verdana"/>
      <family val="2"/>
    </font>
    <font>
      <sz val="8"/>
      <color rgb="FFEC6625"/>
      <name val="Verdana"/>
      <family val="2"/>
    </font>
    <font>
      <b/>
      <i/>
      <sz val="8"/>
      <color rgb="FFFFFFFF"/>
      <name val="Verdana"/>
      <family val="2"/>
    </font>
    <font>
      <sz val="8"/>
      <color rgb="FF262626"/>
      <name val="Verdana"/>
      <family val="2"/>
    </font>
    <font>
      <strike/>
      <sz val="8"/>
      <color rgb="FF262626"/>
      <name val="Verdana"/>
      <family val="2"/>
    </font>
    <font>
      <sz val="8"/>
      <color theme="0"/>
      <name val="Verdana"/>
      <family val="2"/>
    </font>
    <font>
      <b/>
      <sz val="24"/>
      <color theme="0"/>
      <name val="Verdana"/>
      <family val="2"/>
    </font>
    <font>
      <sz val="9"/>
      <color theme="0"/>
      <name val="Verdana"/>
      <family val="2"/>
    </font>
    <font>
      <b/>
      <i/>
      <sz val="14"/>
      <color theme="0"/>
      <name val="Verdana"/>
      <family val="2"/>
    </font>
    <font>
      <b/>
      <shadow/>
      <sz val="10"/>
      <color theme="6"/>
      <name val="Verdana"/>
      <family val="2"/>
    </font>
    <font>
      <b/>
      <shadow/>
      <sz val="18"/>
      <color rgb="FF0A758F"/>
      <name val="Verdana"/>
      <family val="2"/>
    </font>
    <font>
      <sz val="16"/>
      <color theme="3"/>
      <name val="Verdana"/>
      <family val="2"/>
    </font>
    <font>
      <sz val="11"/>
      <color theme="0" tint="-0.499984740745262"/>
      <name val="Verdana"/>
      <family val="2"/>
    </font>
    <font>
      <u/>
      <sz val="8"/>
      <color theme="10"/>
      <name val="Verdana"/>
      <family val="2"/>
    </font>
    <font>
      <b/>
      <sz val="14"/>
      <color rgb="FF101010"/>
      <name val="Verdana"/>
      <family val="2"/>
    </font>
    <font>
      <u/>
      <sz val="11"/>
      <color rgb="FFEC6625"/>
      <name val="Verdana"/>
      <family val="2"/>
    </font>
    <font>
      <sz val="11"/>
      <color theme="3"/>
      <name val="Verdana"/>
      <family val="2"/>
    </font>
    <font>
      <b/>
      <vertAlign val="subscript"/>
      <sz val="14"/>
      <color theme="1"/>
      <name val="Verdana"/>
      <family val="2"/>
    </font>
    <font>
      <b/>
      <sz val="14"/>
      <color theme="1"/>
      <name val="Verdana"/>
      <family val="2"/>
    </font>
    <font>
      <sz val="11"/>
      <color theme="1" tint="0.499984740745262"/>
      <name val="Verdana"/>
      <family val="2"/>
    </font>
    <font>
      <vertAlign val="subscript"/>
      <sz val="11"/>
      <color theme="1" tint="0.499984740745262"/>
      <name val="Verdana"/>
      <family val="2"/>
    </font>
    <font>
      <b/>
      <vertAlign val="subscript"/>
      <sz val="14"/>
      <color rgb="FF101010"/>
      <name val="Verdana"/>
      <family val="2"/>
    </font>
  </fonts>
  <fills count="5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A758F"/>
        <bgColor rgb="FFFFFFFF"/>
      </patternFill>
    </fill>
    <fill>
      <patternFill patternType="solid">
        <fgColor rgb="FF0A758F"/>
        <bgColor indexed="64"/>
      </patternFill>
    </fill>
    <fill>
      <patternFill patternType="solid">
        <fgColor rgb="FF0A758F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/>
      <diagonal/>
    </border>
    <border>
      <left style="medium">
        <color theme="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6"/>
      </bottom>
      <diagonal/>
    </border>
  </borders>
  <cellStyleXfs count="64">
    <xf numFmtId="0" fontId="0" fillId="0" borderId="0">
      <alignment vertical="center"/>
    </xf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4" applyNumberFormat="0" applyAlignment="0" applyProtection="0"/>
    <xf numFmtId="0" fontId="8" fillId="3" borderId="5" applyNumberFormat="0" applyAlignment="0" applyProtection="0"/>
    <xf numFmtId="0" fontId="9" fillId="3" borderId="4" applyNumberFormat="0" applyAlignment="0" applyProtection="0"/>
    <xf numFmtId="0" fontId="10" fillId="0" borderId="6" applyNumberFormat="0" applyFill="0" applyAlignment="0" applyProtection="0"/>
    <xf numFmtId="0" fontId="11" fillId="4" borderId="7" applyNumberFormat="0" applyAlignment="0" applyProtection="0"/>
    <xf numFmtId="0" fontId="12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5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5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6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37" borderId="0" applyProtection="0">
      <alignment vertical="center"/>
    </xf>
    <xf numFmtId="0" fontId="21" fillId="33" borderId="0" applyProtection="0">
      <alignment vertical="center"/>
    </xf>
    <xf numFmtId="0" fontId="27" fillId="34" borderId="0">
      <alignment vertical="center"/>
    </xf>
    <xf numFmtId="0" fontId="26" fillId="34" borderId="0" applyProtection="0">
      <alignment vertical="center"/>
    </xf>
    <xf numFmtId="0" fontId="20" fillId="35" borderId="0" applyProtection="0">
      <alignment vertical="center"/>
    </xf>
    <xf numFmtId="0" fontId="20" fillId="37" borderId="0" applyAlignment="0" applyProtection="0">
      <alignment vertical="center"/>
    </xf>
    <xf numFmtId="0" fontId="28" fillId="38" borderId="13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34" borderId="15" applyAlignment="0">
      <alignment horizontal="left" vertical="center" indent="2"/>
    </xf>
    <xf numFmtId="0" fontId="27" fillId="36" borderId="10" applyAlignment="0">
      <alignment horizontal="left" vertical="center" indent="2"/>
    </xf>
    <xf numFmtId="0" fontId="29" fillId="0" borderId="0">
      <alignment vertical="center"/>
    </xf>
    <xf numFmtId="0" fontId="31" fillId="0" borderId="0"/>
    <xf numFmtId="0" fontId="1" fillId="0" borderId="0"/>
    <xf numFmtId="0" fontId="32" fillId="39" borderId="0" applyProtection="0">
      <alignment horizontal="left" vertical="center" indent="1"/>
    </xf>
    <xf numFmtId="0" fontId="33" fillId="38" borderId="0" applyProtection="0">
      <alignment horizontal="left" vertical="center" indent="1"/>
    </xf>
    <xf numFmtId="9" fontId="27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54" fillId="0" borderId="0"/>
    <xf numFmtId="0" fontId="60" fillId="34" borderId="19">
      <alignment horizontal="left" vertical="center"/>
    </xf>
    <xf numFmtId="0" fontId="62" fillId="48" borderId="0">
      <alignment horizontal="left" vertical="center"/>
    </xf>
    <xf numFmtId="0" fontId="63" fillId="0" borderId="0"/>
    <xf numFmtId="0" fontId="64" fillId="0" borderId="0" applyNumberFormat="0" applyFill="0" applyBorder="0" applyAlignment="0" applyProtection="0"/>
  </cellStyleXfs>
  <cellXfs count="100">
    <xf numFmtId="0" fontId="0" fillId="0" borderId="0" xfId="0">
      <alignment vertical="center"/>
    </xf>
    <xf numFmtId="0" fontId="32" fillId="39" borderId="0" xfId="55">
      <alignment horizontal="left" vertical="center" indent="1"/>
    </xf>
    <xf numFmtId="0" fontId="0" fillId="34" borderId="0" xfId="0" applyFill="1">
      <alignment vertical="center"/>
    </xf>
    <xf numFmtId="0" fontId="0" fillId="33" borderId="0" xfId="0" applyFill="1">
      <alignment vertical="center"/>
    </xf>
    <xf numFmtId="0" fontId="0" fillId="34" borderId="14" xfId="0" applyFill="1" applyBorder="1" applyAlignment="1">
      <alignment horizontal="left" vertical="center" indent="1"/>
    </xf>
    <xf numFmtId="0" fontId="26" fillId="34" borderId="0" xfId="0" applyFont="1" applyFill="1">
      <alignment vertical="center"/>
    </xf>
    <xf numFmtId="0" fontId="20" fillId="35" borderId="11" xfId="46" applyBorder="1" applyAlignment="1">
      <alignment horizontal="center" vertical="center"/>
    </xf>
    <xf numFmtId="0" fontId="20" fillId="37" borderId="12" xfId="46" applyFill="1" applyBorder="1" applyAlignment="1">
      <alignment horizontal="center" vertical="center"/>
    </xf>
    <xf numFmtId="0" fontId="24" fillId="33" borderId="0" xfId="0" applyFont="1" applyFill="1" applyAlignment="1">
      <alignment horizontal="left" vertical="center" indent="12"/>
    </xf>
    <xf numFmtId="0" fontId="30" fillId="34" borderId="0" xfId="49" applyFont="1" applyFill="1" applyAlignment="1">
      <alignment horizontal="left" vertical="center" indent="1"/>
    </xf>
    <xf numFmtId="3" fontId="0" fillId="34" borderId="14" xfId="0" applyNumberFormat="1" applyFill="1" applyBorder="1" applyAlignment="1">
      <alignment horizontal="right" vertical="center" indent="1"/>
    </xf>
    <xf numFmtId="0" fontId="34" fillId="39" borderId="0" xfId="0" applyFont="1" applyFill="1">
      <alignment vertical="center"/>
    </xf>
    <xf numFmtId="0" fontId="23" fillId="37" borderId="0" xfId="0" applyFont="1" applyFill="1">
      <alignment vertical="center"/>
    </xf>
    <xf numFmtId="0" fontId="25" fillId="37" borderId="0" xfId="0" applyFont="1" applyFill="1" applyAlignment="1">
      <alignment horizontal="left" vertical="center" indent="12"/>
    </xf>
    <xf numFmtId="0" fontId="33" fillId="0" borderId="0" xfId="0" applyFont="1">
      <alignment vertical="center"/>
    </xf>
    <xf numFmtId="0" fontId="28" fillId="34" borderId="14" xfId="0" applyFont="1" applyFill="1" applyBorder="1" applyAlignment="1">
      <alignment horizontal="left" vertical="center" indent="1"/>
    </xf>
    <xf numFmtId="3" fontId="28" fillId="34" borderId="14" xfId="0" applyNumberFormat="1" applyFont="1" applyFill="1" applyBorder="1" applyAlignment="1">
      <alignment horizontal="right" vertical="center" indent="1"/>
    </xf>
    <xf numFmtId="0" fontId="20" fillId="37" borderId="12" xfId="46" applyFill="1" applyBorder="1" applyAlignment="1">
      <alignment horizontal="center" vertical="center" wrapText="1"/>
    </xf>
    <xf numFmtId="0" fontId="20" fillId="37" borderId="0" xfId="46" applyFill="1" applyAlignment="1">
      <alignment horizontal="center" vertical="center" wrapText="1"/>
    </xf>
    <xf numFmtId="0" fontId="0" fillId="34" borderId="14" xfId="0" applyFill="1" applyBorder="1" applyAlignment="1">
      <alignment horizontal="left" vertical="center" indent="2"/>
    </xf>
    <xf numFmtId="164" fontId="0" fillId="34" borderId="14" xfId="57" applyNumberFormat="1" applyFont="1" applyFill="1" applyBorder="1" applyAlignment="1">
      <alignment horizontal="right" vertical="center" indent="1"/>
    </xf>
    <xf numFmtId="164" fontId="28" fillId="34" borderId="14" xfId="57" applyNumberFormat="1" applyFont="1" applyFill="1" applyBorder="1" applyAlignment="1">
      <alignment horizontal="right" vertical="center" indent="1"/>
    </xf>
    <xf numFmtId="0" fontId="35" fillId="38" borderId="16" xfId="45" applyFont="1" applyFill="1" applyBorder="1" applyAlignment="1">
      <alignment horizontal="left" vertical="center" indent="1"/>
    </xf>
    <xf numFmtId="0" fontId="0" fillId="38" borderId="0" xfId="0" applyFill="1">
      <alignment vertical="center"/>
    </xf>
    <xf numFmtId="164" fontId="27" fillId="34" borderId="14" xfId="57" applyNumberFormat="1" applyFont="1" applyFill="1" applyBorder="1" applyAlignment="1">
      <alignment horizontal="right" vertical="center" indent="1"/>
    </xf>
    <xf numFmtId="0" fontId="0" fillId="34" borderId="14" xfId="0" applyFill="1" applyBorder="1" applyAlignment="1">
      <alignment horizontal="left" vertical="center" wrapText="1" indent="1"/>
    </xf>
    <xf numFmtId="0" fontId="39" fillId="37" borderId="0" xfId="0" applyFont="1" applyFill="1" applyAlignment="1">
      <alignment horizontal="left" vertical="center"/>
    </xf>
    <xf numFmtId="0" fontId="24" fillId="33" borderId="0" xfId="0" applyFont="1" applyFill="1" applyAlignment="1">
      <alignment horizontal="left" vertical="center"/>
    </xf>
    <xf numFmtId="0" fontId="40" fillId="34" borderId="0" xfId="0" applyFont="1" applyFill="1" applyAlignment="1">
      <alignment horizontal="left" vertical="center"/>
    </xf>
    <xf numFmtId="0" fontId="30" fillId="34" borderId="0" xfId="58" applyFont="1" applyFill="1" applyAlignment="1">
      <alignment horizontal="center" vertical="center"/>
    </xf>
    <xf numFmtId="0" fontId="32" fillId="39" borderId="0" xfId="0" applyFont="1" applyFill="1" applyAlignment="1">
      <alignment horizontal="left" vertical="center" indent="1"/>
    </xf>
    <xf numFmtId="0" fontId="42" fillId="39" borderId="0" xfId="0" applyFont="1" applyFill="1">
      <alignment vertical="center"/>
    </xf>
    <xf numFmtId="0" fontId="43" fillId="34" borderId="0" xfId="0" applyFont="1" applyFill="1" applyAlignment="1">
      <alignment horizontal="left" vertical="center" indent="1"/>
    </xf>
    <xf numFmtId="0" fontId="20" fillId="37" borderId="18" xfId="49" applyFont="1" applyFill="1" applyBorder="1" applyAlignment="1">
      <alignment horizontal="center" vertical="center"/>
    </xf>
    <xf numFmtId="0" fontId="44" fillId="34" borderId="0" xfId="0" applyFont="1" applyFill="1" applyAlignment="1">
      <alignment horizontal="left" vertical="center" indent="1"/>
    </xf>
    <xf numFmtId="0" fontId="20" fillId="40" borderId="17" xfId="49" applyFont="1" applyFill="1" applyBorder="1" applyAlignment="1">
      <alignment horizontal="center" vertical="center"/>
    </xf>
    <xf numFmtId="0" fontId="45" fillId="36" borderId="0" xfId="49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3" fontId="28" fillId="41" borderId="14" xfId="0" applyNumberFormat="1" applyFont="1" applyFill="1" applyBorder="1" applyAlignment="1">
      <alignment horizontal="right" vertical="center" indent="1"/>
    </xf>
    <xf numFmtId="0" fontId="28" fillId="41" borderId="14" xfId="0" applyFont="1" applyFill="1" applyBorder="1" applyAlignment="1">
      <alignment horizontal="left" vertical="center" indent="1"/>
    </xf>
    <xf numFmtId="0" fontId="28" fillId="41" borderId="14" xfId="0" applyFont="1" applyFill="1" applyBorder="1" applyAlignment="1">
      <alignment horizontal="left" vertical="center" indent="2"/>
    </xf>
    <xf numFmtId="14" fontId="47" fillId="37" borderId="0" xfId="0" applyNumberFormat="1" applyFont="1" applyFill="1">
      <alignment vertical="center"/>
    </xf>
    <xf numFmtId="0" fontId="20" fillId="42" borderId="12" xfId="46" applyFill="1" applyBorder="1" applyAlignment="1">
      <alignment horizontal="center" vertical="center"/>
    </xf>
    <xf numFmtId="0" fontId="20" fillId="43" borderId="12" xfId="46" applyFill="1" applyBorder="1" applyAlignment="1">
      <alignment horizontal="center" vertical="center"/>
    </xf>
    <xf numFmtId="0" fontId="20" fillId="42" borderId="12" xfId="46" applyFill="1" applyBorder="1" applyAlignment="1">
      <alignment horizontal="center" vertical="center" wrapText="1"/>
    </xf>
    <xf numFmtId="0" fontId="27" fillId="34" borderId="0" xfId="44">
      <alignment vertical="center"/>
    </xf>
    <xf numFmtId="164" fontId="28" fillId="41" borderId="14" xfId="57" applyNumberFormat="1" applyFont="1" applyFill="1" applyBorder="1" applyAlignment="1">
      <alignment horizontal="right" vertical="center" indent="1"/>
    </xf>
    <xf numFmtId="9" fontId="0" fillId="34" borderId="14" xfId="0" applyNumberFormat="1" applyFill="1" applyBorder="1" applyAlignment="1">
      <alignment horizontal="right" vertical="center" indent="1"/>
    </xf>
    <xf numFmtId="9" fontId="28" fillId="41" borderId="14" xfId="0" applyNumberFormat="1" applyFont="1" applyFill="1" applyBorder="1" applyAlignment="1">
      <alignment horizontal="right" vertical="center" indent="1"/>
    </xf>
    <xf numFmtId="9" fontId="28" fillId="34" borderId="14" xfId="0" applyNumberFormat="1" applyFont="1" applyFill="1" applyBorder="1" applyAlignment="1">
      <alignment horizontal="right" vertical="center" indent="1"/>
    </xf>
    <xf numFmtId="4" fontId="0" fillId="0" borderId="0" xfId="0" applyNumberFormat="1">
      <alignment vertical="center"/>
    </xf>
    <xf numFmtId="14" fontId="48" fillId="33" borderId="0" xfId="0" applyNumberFormat="1" applyFont="1" applyFill="1" applyAlignment="1">
      <alignment horizontal="right" vertical="center"/>
    </xf>
    <xf numFmtId="0" fontId="56" fillId="46" borderId="0" xfId="59" applyFont="1" applyFill="1" applyAlignment="1">
      <alignment vertical="center"/>
    </xf>
    <xf numFmtId="0" fontId="57" fillId="46" borderId="0" xfId="59" applyFont="1" applyFill="1" applyAlignment="1">
      <alignment horizontal="left" indent="7"/>
    </xf>
    <xf numFmtId="0" fontId="56" fillId="45" borderId="0" xfId="59" applyFont="1" applyFill="1" applyAlignment="1">
      <alignment vertical="center"/>
    </xf>
    <xf numFmtId="0" fontId="54" fillId="44" borderId="0" xfId="59" applyFill="1" applyAlignment="1">
      <alignment vertical="center"/>
    </xf>
    <xf numFmtId="0" fontId="54" fillId="0" borderId="0" xfId="59" applyAlignment="1">
      <alignment vertical="center"/>
    </xf>
    <xf numFmtId="0" fontId="56" fillId="47" borderId="0" xfId="59" applyFont="1" applyFill="1" applyAlignment="1">
      <alignment vertical="center"/>
    </xf>
    <xf numFmtId="0" fontId="58" fillId="45" borderId="0" xfId="59" applyFont="1" applyFill="1" applyAlignment="1">
      <alignment horizontal="left" indent="1"/>
    </xf>
    <xf numFmtId="0" fontId="59" fillId="47" borderId="0" xfId="59" applyFont="1" applyFill="1" applyAlignment="1">
      <alignment horizontal="left" vertical="center" indent="7"/>
    </xf>
    <xf numFmtId="0" fontId="52" fillId="44" borderId="0" xfId="59" applyFont="1" applyFill="1" applyAlignment="1">
      <alignment horizontal="left" vertical="center" indent="1"/>
    </xf>
    <xf numFmtId="0" fontId="61" fillId="34" borderId="0" xfId="60" applyFont="1" applyBorder="1" applyAlignment="1">
      <alignment horizontal="left" vertical="center" indent="1"/>
    </xf>
    <xf numFmtId="0" fontId="62" fillId="48" borderId="0" xfId="61">
      <alignment horizontal="left" vertical="center"/>
    </xf>
    <xf numFmtId="0" fontId="63" fillId="0" borderId="0" xfId="62" applyAlignment="1">
      <alignment vertical="center"/>
    </xf>
    <xf numFmtId="0" fontId="63" fillId="44" borderId="0" xfId="62" applyFill="1" applyAlignment="1">
      <alignment vertical="center"/>
    </xf>
    <xf numFmtId="0" fontId="64" fillId="44" borderId="0" xfId="63" applyFill="1" applyBorder="1" applyAlignment="1">
      <alignment horizontal="center"/>
    </xf>
    <xf numFmtId="0" fontId="65" fillId="44" borderId="0" xfId="59" applyFont="1" applyFill="1"/>
    <xf numFmtId="0" fontId="51" fillId="44" borderId="0" xfId="62" applyFont="1" applyFill="1" applyAlignment="1">
      <alignment vertical="center"/>
    </xf>
    <xf numFmtId="0" fontId="66" fillId="44" borderId="0" xfId="62" applyFont="1" applyFill="1" applyAlignment="1">
      <alignment horizontal="right" vertical="center"/>
    </xf>
    <xf numFmtId="0" fontId="66" fillId="44" borderId="0" xfId="62" applyFont="1" applyFill="1" applyAlignment="1">
      <alignment horizontal="center" vertical="center"/>
    </xf>
    <xf numFmtId="0" fontId="66" fillId="44" borderId="0" xfId="62" applyFont="1" applyFill="1" applyAlignment="1">
      <alignment horizontal="left" vertical="center"/>
    </xf>
    <xf numFmtId="0" fontId="63" fillId="44" borderId="0" xfId="62" applyFill="1" applyAlignment="1">
      <alignment vertical="top" wrapText="1"/>
    </xf>
    <xf numFmtId="0" fontId="64" fillId="44" borderId="0" xfId="63" applyFill="1" applyBorder="1" applyAlignment="1">
      <alignment horizontal="center"/>
    </xf>
    <xf numFmtId="0" fontId="66" fillId="44" borderId="0" xfId="62" applyFont="1" applyFill="1" applyAlignment="1">
      <alignment horizontal="right" vertical="center"/>
    </xf>
    <xf numFmtId="0" fontId="66" fillId="44" borderId="0" xfId="62" applyFont="1" applyFill="1" applyAlignment="1">
      <alignment vertical="center"/>
    </xf>
    <xf numFmtId="0" fontId="51" fillId="44" borderId="0" xfId="62" applyFont="1" applyFill="1" applyAlignment="1">
      <alignment horizontal="center" vertical="center"/>
    </xf>
    <xf numFmtId="0" fontId="63" fillId="44" borderId="0" xfId="62" applyFill="1" applyAlignment="1">
      <alignment horizontal="right" vertical="center"/>
    </xf>
    <xf numFmtId="0" fontId="63" fillId="44" borderId="0" xfId="62" applyFill="1" applyAlignment="1">
      <alignment horizontal="left" vertical="center"/>
    </xf>
    <xf numFmtId="0" fontId="67" fillId="48" borderId="0" xfId="61" applyFont="1" applyAlignment="1">
      <alignment horizontal="right"/>
    </xf>
    <xf numFmtId="0" fontId="67" fillId="48" borderId="0" xfId="61" applyFont="1">
      <alignment horizontal="left" vertical="center"/>
    </xf>
    <xf numFmtId="0" fontId="64" fillId="44" borderId="0" xfId="63" applyFill="1" applyBorder="1" applyAlignment="1">
      <alignment horizontal="center" vertical="center"/>
    </xf>
    <xf numFmtId="0" fontId="63" fillId="44" borderId="0" xfId="62" applyFill="1" applyAlignment="1">
      <alignment horizontal="center" vertical="center"/>
    </xf>
    <xf numFmtId="0" fontId="66" fillId="44" borderId="0" xfId="62" applyFont="1" applyFill="1" applyAlignment="1">
      <alignment horizontal="center" vertical="center"/>
    </xf>
    <xf numFmtId="0" fontId="66" fillId="44" borderId="0" xfId="62" applyFont="1" applyFill="1" applyAlignment="1">
      <alignment horizontal="left" vertical="center"/>
    </xf>
    <xf numFmtId="0" fontId="63" fillId="49" borderId="0" xfId="62" applyFill="1" applyAlignment="1">
      <alignment vertical="center"/>
    </xf>
    <xf numFmtId="0" fontId="51" fillId="49" borderId="0" xfId="62" applyFont="1" applyFill="1" applyAlignment="1">
      <alignment horizontal="center" vertical="center"/>
    </xf>
    <xf numFmtId="0" fontId="64" fillId="49" borderId="0" xfId="63" applyFill="1" applyBorder="1" applyAlignment="1">
      <alignment horizontal="center" vertical="center"/>
    </xf>
    <xf numFmtId="0" fontId="49" fillId="49" borderId="0" xfId="62" applyFont="1" applyFill="1" applyAlignment="1">
      <alignment horizontal="left" vertical="center" indent="12"/>
    </xf>
    <xf numFmtId="0" fontId="70" fillId="44" borderId="0" xfId="62" applyFont="1" applyFill="1" applyAlignment="1">
      <alignment vertical="top" wrapText="1"/>
    </xf>
    <xf numFmtId="0" fontId="51" fillId="44" borderId="0" xfId="62" applyFont="1" applyFill="1" applyAlignment="1">
      <alignment horizontal="center" vertical="center"/>
    </xf>
    <xf numFmtId="0" fontId="50" fillId="49" borderId="0" xfId="62" applyFont="1" applyFill="1" applyAlignment="1">
      <alignment horizontal="left" vertical="center" indent="12"/>
    </xf>
    <xf numFmtId="0" fontId="69" fillId="44" borderId="0" xfId="62" applyFont="1" applyFill="1"/>
    <xf numFmtId="0" fontId="64" fillId="0" borderId="0" xfId="63" applyBorder="1" applyAlignment="1">
      <alignment horizontal="center" vertical="center"/>
    </xf>
    <xf numFmtId="0" fontId="65" fillId="44" borderId="0" xfId="59" applyFont="1" applyFill="1" applyAlignment="1">
      <alignment wrapText="1"/>
    </xf>
    <xf numFmtId="0" fontId="53" fillId="0" borderId="0" xfId="62" applyFont="1" applyAlignment="1">
      <alignment vertical="center"/>
    </xf>
    <xf numFmtId="0" fontId="63" fillId="0" borderId="0" xfId="62" applyAlignment="1">
      <alignment vertical="top" wrapText="1"/>
    </xf>
    <xf numFmtId="0" fontId="51" fillId="0" borderId="0" xfId="62" applyFont="1" applyAlignment="1">
      <alignment horizontal="center" vertical="center"/>
    </xf>
    <xf numFmtId="0" fontId="64" fillId="0" borderId="0" xfId="63" applyBorder="1" applyAlignment="1">
      <alignment horizontal="center" vertical="center"/>
    </xf>
    <xf numFmtId="0" fontId="55" fillId="44" borderId="0" xfId="62" applyFont="1" applyFill="1"/>
    <xf numFmtId="0" fontId="63" fillId="44" borderId="0" xfId="62" applyFill="1"/>
  </cellXfs>
  <cellStyles count="64">
    <cellStyle name="20 % - Accent1" xfId="16" builtinId="30" hidden="1"/>
    <cellStyle name="20 % - Accent2" xfId="20" builtinId="34" hidden="1"/>
    <cellStyle name="20 % - Accent3" xfId="24" builtinId="38" hidden="1"/>
    <cellStyle name="20 % - Accent4" xfId="28" builtinId="42" hidden="1"/>
    <cellStyle name="20 % - Accent5" xfId="32" builtinId="46" hidden="1"/>
    <cellStyle name="20 % - Accent6" xfId="36" builtinId="50" hidden="1"/>
    <cellStyle name="40 % - Accent1" xfId="17" builtinId="31" hidden="1"/>
    <cellStyle name="40 % - Accent2" xfId="21" builtinId="35" hidden="1"/>
    <cellStyle name="40 % - Accent3" xfId="25" builtinId="39" hidden="1"/>
    <cellStyle name="40 % - Accent4" xfId="29" builtinId="43" hidden="1"/>
    <cellStyle name="40 % - Accent5" xfId="33" builtinId="47" hidden="1"/>
    <cellStyle name="40 % - Accent6" xfId="37" builtinId="51" hidden="1"/>
    <cellStyle name="60 % - Accent1" xfId="18" builtinId="32" hidden="1"/>
    <cellStyle name="60 % - Accent2" xfId="22" builtinId="36" hidden="1"/>
    <cellStyle name="60 % - Accent3" xfId="26" builtinId="40" hidden="1"/>
    <cellStyle name="60 % - Accent4" xfId="30" builtinId="44" hidden="1"/>
    <cellStyle name="60 % - Accent5" xfId="34" builtinId="48" hidden="1"/>
    <cellStyle name="60 % - Accent6" xfId="38" builtinId="52" hidden="1"/>
    <cellStyle name="Accent1" xfId="15" builtinId="29" hidden="1"/>
    <cellStyle name="Accent2" xfId="19" builtinId="33" hidden="1"/>
    <cellStyle name="Accent3" xfId="23" builtinId="37" hidden="1"/>
    <cellStyle name="Accent4" xfId="27" builtinId="41" hidden="1"/>
    <cellStyle name="Accent5" xfId="31" builtinId="45" hidden="1"/>
    <cellStyle name="Accent6" xfId="35" builtinId="49" hidden="1"/>
    <cellStyle name="Avertissement" xfId="11" builtinId="11" hidden="1"/>
    <cellStyle name="Calcul" xfId="8" builtinId="22" hidden="1"/>
    <cellStyle name="Cellule liée" xfId="9" builtinId="24" hidden="1"/>
    <cellStyle name="Entrée" xfId="6" builtinId="20" hidden="1"/>
    <cellStyle name="Insatisfaisant" xfId="40" builtinId="27" customBuiltin="1"/>
    <cellStyle name="Lien hypertexte" xfId="49" builtinId="8"/>
    <cellStyle name="Lien hypertexte 2" xfId="58" xr:uid="{0ED5BD44-47FE-4AE0-AF54-AF75F93A0C11}"/>
    <cellStyle name="Lien hypertexte 2 2" xfId="63" xr:uid="{91F3B046-A1B9-4E73-BB5C-1EAC4EF6DDE6}"/>
    <cellStyle name="Main title1" xfId="42" xr:uid="{DB0923F9-EB75-4BE5-8055-EDB2387BBB70}"/>
    <cellStyle name="Main title2" xfId="43" xr:uid="{BB3E248A-F1E5-4F15-8A45-568C8E89DB41}"/>
    <cellStyle name="Neutre" xfId="41" builtinId="28" customBuiltin="1"/>
    <cellStyle name="Normal" xfId="0" builtinId="0" customBuiltin="1"/>
    <cellStyle name="Normal 2" xfId="52" xr:uid="{1ED228C5-1888-49DE-A7FE-1767EA4BFDC0}"/>
    <cellStyle name="Normal 2 2" xfId="62" xr:uid="{3FEFEBDC-B324-4514-9267-9458DEB1A188}"/>
    <cellStyle name="Normal 3" xfId="53" xr:uid="{249ABC45-D3A8-44AE-8533-D1973A4E6D44}"/>
    <cellStyle name="Normal 3 2" xfId="59" xr:uid="{CFAC5965-9CFD-4F65-BE88-456FED54A500}"/>
    <cellStyle name="Normal 4" xfId="54" xr:uid="{0AB1E099-F473-4A6D-B359-BB1046ACDF0B}"/>
    <cellStyle name="Normal white" xfId="44" xr:uid="{DD3E27CF-5024-4D63-8D25-AFC831233FD7}"/>
    <cellStyle name="Note" xfId="12" builtinId="10" hidden="1"/>
    <cellStyle name="Pourcentage" xfId="57" builtinId="5"/>
    <cellStyle name="Satisfaisant" xfId="39" builtinId="26" customBuiltin="1"/>
    <cellStyle name="Section title1" xfId="55" xr:uid="{BA0D5918-1CBC-4AED-BBD8-C8C7A91A53E4}"/>
    <cellStyle name="Section title2" xfId="56" xr:uid="{C251FFCC-7918-46ED-85E6-EBBC4C503339}"/>
    <cellStyle name="Section title3" xfId="45" xr:uid="{88F60624-7050-4FFA-9108-506E72BA3CB6}"/>
    <cellStyle name="Sortie" xfId="7" builtinId="21" hidden="1"/>
    <cellStyle name="Texte explicatif" xfId="13" builtinId="53" hidden="1"/>
    <cellStyle name="Titre" xfId="1" builtinId="15" hidden="1"/>
    <cellStyle name="Titre catégorie" xfId="60" xr:uid="{2BE0E6C3-9FF2-4A5B-A5FC-FB93ABB0AB79}"/>
    <cellStyle name="Titre Energy" xfId="61" xr:uid="{0AA142F9-DF39-4145-ABC1-ED7368CA20E5}"/>
    <cellStyle name="Titre 1" xfId="2" builtinId="16" hidden="1"/>
    <cellStyle name="Titre 2" xfId="3" builtinId="17" hidden="1"/>
    <cellStyle name="Titre 3" xfId="4" builtinId="18" hidden="1"/>
    <cellStyle name="Titre 4" xfId="5" builtinId="19" hidden="1"/>
    <cellStyle name="Total" xfId="14" builtinId="25" hidden="1"/>
    <cellStyle name="Variable time" xfId="46" xr:uid="{F76C556E-0DCC-4EE3-8804-8B0BFF2FF73C}"/>
    <cellStyle name="Variable1" xfId="47" xr:uid="{768BA571-3589-447C-89A1-19BC53ABB906}"/>
    <cellStyle name="Variable2" xfId="48" xr:uid="{2EB4907C-742E-4664-A5E2-FA1388B0C49C}"/>
    <cellStyle name="VariableG_3" xfId="51" xr:uid="{DE1A6009-85E8-42CA-BABA-BE7F2B9A2D78}"/>
    <cellStyle name="VariableW_3" xfId="50" xr:uid="{E5ABD043-2C7B-4DC7-A4B1-F2FA92D7A941}"/>
    <cellStyle name="Vérification" xfId="10" builtinId="23" hidden="1"/>
  </cellStyles>
  <dxfs count="38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131313"/>
      <color rgb="FF808080"/>
      <color rgb="FF854907"/>
      <color rgb="FF006A48"/>
      <color rgb="FF887400"/>
      <color rgb="FFFFDC14"/>
      <color rgb="FF00A2D2"/>
      <color rgb="FF00758F"/>
      <color rgb="FFEC6625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Operational (MW)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8394299516908215"/>
          <c:y val="0.19253819444444445"/>
          <c:w val="0.7994931216931217"/>
          <c:h val="0.6218923611111110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EC662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8572-4D77-9D2B-0C259BFAC9B0}"/>
              </c:ext>
            </c:extLst>
          </c:dPt>
          <c:dPt>
            <c:idx val="1"/>
            <c:bubble3D val="0"/>
            <c:spPr>
              <a:solidFill>
                <a:srgbClr val="85490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8572-4D77-9D2B-0C259BFAC9B0}"/>
              </c:ext>
            </c:extLst>
          </c:dPt>
          <c:dPt>
            <c:idx val="2"/>
            <c:bubble3D val="0"/>
            <c:spPr>
              <a:solidFill>
                <a:srgbClr val="80808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8572-4D77-9D2B-0C259BFAC9B0}"/>
              </c:ext>
            </c:extLst>
          </c:dPt>
          <c:dPt>
            <c:idx val="3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8572-4D77-9D2B-0C259BFAC9B0}"/>
              </c:ext>
            </c:extLst>
          </c:dPt>
          <c:dPt>
            <c:idx val="4"/>
            <c:bubble3D val="0"/>
            <c:spPr>
              <a:solidFill>
                <a:srgbClr val="006A4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8572-4D77-9D2B-0C259BFAC9B0}"/>
              </c:ext>
            </c:extLst>
          </c:dPt>
          <c:dPt>
            <c:idx val="5"/>
            <c:bubble3D val="0"/>
            <c:spPr>
              <a:solidFill>
                <a:srgbClr val="00758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8572-4D77-9D2B-0C259BFAC9B0}"/>
              </c:ext>
            </c:extLst>
          </c:dPt>
          <c:dPt>
            <c:idx val="6"/>
            <c:bubble3D val="0"/>
            <c:spPr>
              <a:solidFill>
                <a:srgbClr val="00A2D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8572-4D77-9D2B-0C259BFAC9B0}"/>
              </c:ext>
            </c:extLst>
          </c:dPt>
          <c:dPt>
            <c:idx val="7"/>
            <c:bubble3D val="0"/>
            <c:spPr>
              <a:solidFill>
                <a:srgbClr val="FFDC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B-8572-4D77-9D2B-0C259BFAC9B0}"/>
              </c:ext>
            </c:extLst>
          </c:dPt>
          <c:dPt>
            <c:idx val="8"/>
            <c:bubble3D val="0"/>
            <c:spPr>
              <a:solidFill>
                <a:srgbClr val="8874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D-8572-4D77-9D2B-0C259BFAC9B0}"/>
              </c:ext>
            </c:extLst>
          </c:dPt>
          <c:cat>
            <c:strRef>
              <c:f>('New capacities'!$B$53,'New capacities'!$B$55:$B$58,'New capacities'!$B$61:$B$64)</c:f>
              <c:strCache>
                <c:ptCount val="9"/>
                <c:pt idx="0">
                  <c:v>Nuclear</c:v>
                </c:pt>
                <c:pt idx="1">
                  <c:v>Coal/Lignite</c:v>
                </c:pt>
                <c:pt idx="2">
                  <c:v>Gas</c:v>
                </c:pt>
                <c:pt idx="3">
                  <c:v>Oil</c:v>
                </c:pt>
                <c:pt idx="4">
                  <c:v>Biomass</c:v>
                </c:pt>
                <c:pt idx="5">
                  <c:v>Hydro</c:v>
                </c:pt>
                <c:pt idx="6">
                  <c:v>Wind</c:v>
                </c:pt>
                <c:pt idx="7">
                  <c:v>Solar*</c:v>
                </c:pt>
                <c:pt idx="8">
                  <c:v>Geothermal, Marine, etc</c:v>
                </c:pt>
              </c:strCache>
            </c:strRef>
          </c:cat>
          <c:val>
            <c:numRef>
              <c:f>('New capacities'!$C$53,'New capacities'!$C$55:$C$58,'New capacities'!$C$61:$C$64)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2673</c:v>
                </c:pt>
                <c:pt idx="3">
                  <c:v>1085</c:v>
                </c:pt>
                <c:pt idx="4">
                  <c:v>8.3699999999999992</c:v>
                </c:pt>
                <c:pt idx="5">
                  <c:v>1584</c:v>
                </c:pt>
                <c:pt idx="6">
                  <c:v>0.02</c:v>
                </c:pt>
                <c:pt idx="7">
                  <c:v>98.34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E-8572-4D77-9D2B-0C259BFAC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solidFill>
          <a:schemeClr val="bg1"/>
        </a:solidFill>
        <a:ln>
          <a:solidFill>
            <a:sysClr val="window" lastClr="FFFFFF">
              <a:lumMod val="85000"/>
            </a:sysClr>
          </a:solidFill>
        </a:ln>
        <a:effectLst/>
      </c:spPr>
    </c:plotArea>
    <c:legend>
      <c:legendPos val="b"/>
      <c:layout>
        <c:manualLayout>
          <c:xMode val="edge"/>
          <c:yMode val="edge"/>
          <c:x val="1.3637681159420288E-2"/>
          <c:y val="0.13281597222222222"/>
          <c:w val="0.34079227053140099"/>
          <c:h val="0.84072569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CO2 emissions of the power sector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9024050565108"/>
          <c:y val="0.16587156605424322"/>
          <c:w val="0.7994931216931217"/>
          <c:h val="0.6218923611111110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'Power Sector Performances'!$B$181</c:f>
              <c:strCache>
                <c:ptCount val="1"/>
                <c:pt idx="0">
                  <c:v>Coal/Lignite</c:v>
                </c:pt>
              </c:strCache>
            </c:strRef>
          </c:tx>
          <c:spPr>
            <a:solidFill>
              <a:srgbClr val="854907"/>
            </a:solidFill>
            <a:ln>
              <a:noFill/>
            </a:ln>
            <a:effectLst/>
          </c:spPr>
          <c:invertIfNegative val="0"/>
          <c:cat>
            <c:numRef>
              <c:f>'Power Sector Performances'!$C$179:$J$179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Performances'!$C$181:$J$181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B985-4326-A2AC-6E41729BF22C}"/>
            </c:ext>
          </c:extLst>
        </c:ser>
        <c:ser>
          <c:idx val="2"/>
          <c:order val="2"/>
          <c:tx>
            <c:strRef>
              <c:f>'Power Sector Performances'!$B$182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cat>
            <c:numRef>
              <c:f>'Power Sector Performances'!$C$179:$J$179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Performances'!$C$182:$J$182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524.06784000000005</c:v>
                </c:pt>
                <c:pt idx="3">
                  <c:v>3964.5184100000001</c:v>
                </c:pt>
                <c:pt idx="4">
                  <c:v>5844.6859800000002</c:v>
                </c:pt>
                <c:pt idx="5">
                  <c:v>5803.6238199999998</c:v>
                </c:pt>
                <c:pt idx="6">
                  <c:v>6259.5571300000001</c:v>
                </c:pt>
                <c:pt idx="7">
                  <c:v>6196.0448100000003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5-4326-A2AC-6E41729BF22C}"/>
            </c:ext>
          </c:extLst>
        </c:ser>
        <c:ser>
          <c:idx val="3"/>
          <c:order val="3"/>
          <c:tx>
            <c:strRef>
              <c:f>'Power Sector Performances'!$B$183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131313"/>
            </a:solidFill>
            <a:ln>
              <a:noFill/>
            </a:ln>
            <a:effectLst/>
          </c:spPr>
          <c:invertIfNegative val="0"/>
          <c:cat>
            <c:numRef>
              <c:f>'Power Sector Performances'!$C$179:$J$179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Performances'!$C$183:$J$183</c:f>
              <c:numCache>
                <c:formatCode>#,##0</c:formatCode>
                <c:ptCount val="8"/>
                <c:pt idx="0">
                  <c:v>21.950109999999999</c:v>
                </c:pt>
                <c:pt idx="1">
                  <c:v>573.13751999999999</c:v>
                </c:pt>
                <c:pt idx="2">
                  <c:v>2194.4031100000002</c:v>
                </c:pt>
                <c:pt idx="3">
                  <c:v>577.35717</c:v>
                </c:pt>
                <c:pt idx="4">
                  <c:v>251.83512999999999</c:v>
                </c:pt>
                <c:pt idx="5">
                  <c:v>413.50896</c:v>
                </c:pt>
                <c:pt idx="6">
                  <c:v>219.40098</c:v>
                </c:pt>
                <c:pt idx="7">
                  <c:v>351.47147999999999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85-4326-A2AC-6E41729BF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72361648"/>
        <c:axId val="3646256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'Power Sector Performances'!$B$180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'Power Sector Performances'!$C$179:$J$179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1990</c:v>
                      </c:pt>
                      <c:pt idx="1">
                        <c:v>2000</c:v>
                      </c:pt>
                      <c:pt idx="2">
                        <c:v>2010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'Power Sector Performances'!$C$180:$J$180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21.950109999999999</c:v>
                      </c:pt>
                      <c:pt idx="1">
                        <c:v>573.13751999999999</c:v>
                      </c:pt>
                      <c:pt idx="2">
                        <c:v>2718.4709600000001</c:v>
                      </c:pt>
                      <c:pt idx="3">
                        <c:v>4541.8755799999999</c:v>
                      </c:pt>
                      <c:pt idx="4">
                        <c:v>6096.5210999999999</c:v>
                      </c:pt>
                      <c:pt idx="5">
                        <c:v>6217.1327799999999</c:v>
                      </c:pt>
                      <c:pt idx="6">
                        <c:v>6478.9581099999996</c:v>
                      </c:pt>
                      <c:pt idx="7">
                        <c:v>6547.5162799999998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985-4326-A2AC-6E41729BF22C}"/>
                  </c:ext>
                </c:extLst>
              </c15:ser>
            </c15:filteredBarSeries>
          </c:ext>
        </c:extLst>
      </c:barChart>
      <c:catAx>
        <c:axId val="37236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4625616"/>
        <c:crosses val="autoZero"/>
        <c:auto val="1"/>
        <c:lblAlgn val="ctr"/>
        <c:lblOffset val="100"/>
        <c:noMultiLvlLbl val="0"/>
      </c:catAx>
      <c:valAx>
        <c:axId val="36462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0" i="0" u="none" strike="noStrike" baseline="0">
                    <a:effectLst/>
                  </a:rPr>
                  <a:t>ktCO2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5140877106547485E-2"/>
              <c:y val="3.770833333333334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2361648"/>
        <c:crosses val="autoZero"/>
        <c:crossBetween val="between"/>
      </c:valAx>
      <c:spPr>
        <a:solidFill>
          <a:schemeClr val="bg1"/>
        </a:solidFill>
        <a:ln>
          <a:solidFill>
            <a:sysClr val="window" lastClr="FFFFFF">
              <a:lumMod val="85000"/>
            </a:sys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Carbon factor of the power sector (gCO2/KWh)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9024050565108"/>
          <c:y val="0.16587156605424322"/>
          <c:w val="0.7994931216931217"/>
          <c:h val="0.62189236111111101"/>
        </c:manualLayout>
      </c:layout>
      <c:lineChart>
        <c:grouping val="standard"/>
        <c:varyColors val="0"/>
        <c:ser>
          <c:idx val="0"/>
          <c:order val="0"/>
          <c:tx>
            <c:strRef>
              <c:f>'Power Sector Performances'!$B$206</c:f>
              <c:strCache>
                <c:ptCount val="1"/>
                <c:pt idx="0">
                  <c:v>Carbon factor of the power sector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'Power Sector Performances'!$C$205:$J$205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Performances'!$C$206:$J$206</c:f>
              <c:numCache>
                <c:formatCode>#,##0</c:formatCode>
                <c:ptCount val="8"/>
                <c:pt idx="0">
                  <c:v>3.7740900000000002</c:v>
                </c:pt>
                <c:pt idx="1">
                  <c:v>79.337969999999999</c:v>
                </c:pt>
                <c:pt idx="2">
                  <c:v>267.38182</c:v>
                </c:pt>
                <c:pt idx="3">
                  <c:v>247.26571999999999</c:v>
                </c:pt>
                <c:pt idx="4">
                  <c:v>302.25238000000002</c:v>
                </c:pt>
                <c:pt idx="5">
                  <c:v>281.94628999999998</c:v>
                </c:pt>
                <c:pt idx="6">
                  <c:v>279.71152999999998</c:v>
                </c:pt>
                <c:pt idx="7">
                  <c:v>269.94339000000002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F9B-4663-AB55-F8674C63B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361648"/>
        <c:axId val="364625616"/>
      </c:lineChart>
      <c:catAx>
        <c:axId val="37236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4625616"/>
        <c:crosses val="autoZero"/>
        <c:auto val="1"/>
        <c:lblAlgn val="ctr"/>
        <c:lblOffset val="100"/>
        <c:noMultiLvlLbl val="0"/>
      </c:catAx>
      <c:valAx>
        <c:axId val="36462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0" i="0" u="none" strike="noStrike" baseline="0">
                    <a:effectLst/>
                  </a:rPr>
                  <a:t>gCO2/KWh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5140877106547485E-2"/>
              <c:y val="3.770833333333334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2361648"/>
        <c:crosses val="autoZero"/>
        <c:crossBetween val="between"/>
      </c:valAx>
      <c:spPr>
        <a:solidFill>
          <a:schemeClr val="bg1"/>
        </a:solidFill>
        <a:ln>
          <a:solidFill>
            <a:sysClr val="window" lastClr="FFFFFF">
              <a:lumMod val="85000"/>
            </a:sys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Under construction</a:t>
            </a:r>
            <a:r>
              <a:rPr lang="fr-FR" sz="1100" b="1" i="0" u="none" strike="noStrike" baseline="0">
                <a:effectLst/>
              </a:rPr>
              <a:t> (MW)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8394299516908215"/>
          <c:y val="0.19253819444444445"/>
          <c:w val="0.7994931216931217"/>
          <c:h val="0.6218923611111110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EC662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860-42B9-A827-E6F170AD9C2F}"/>
              </c:ext>
            </c:extLst>
          </c:dPt>
          <c:dPt>
            <c:idx val="1"/>
            <c:bubble3D val="0"/>
            <c:spPr>
              <a:solidFill>
                <a:srgbClr val="85490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860-42B9-A827-E6F170AD9C2F}"/>
              </c:ext>
            </c:extLst>
          </c:dPt>
          <c:dPt>
            <c:idx val="2"/>
            <c:bubble3D val="0"/>
            <c:spPr>
              <a:solidFill>
                <a:srgbClr val="80808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9860-42B9-A827-E6F170AD9C2F}"/>
              </c:ext>
            </c:extLst>
          </c:dPt>
          <c:dPt>
            <c:idx val="3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9860-42B9-A827-E6F170AD9C2F}"/>
              </c:ext>
            </c:extLst>
          </c:dPt>
          <c:dPt>
            <c:idx val="4"/>
            <c:bubble3D val="0"/>
            <c:spPr>
              <a:solidFill>
                <a:srgbClr val="006A4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9860-42B9-A827-E6F170AD9C2F}"/>
              </c:ext>
            </c:extLst>
          </c:dPt>
          <c:dPt>
            <c:idx val="5"/>
            <c:bubble3D val="0"/>
            <c:spPr>
              <a:solidFill>
                <a:srgbClr val="00758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9860-42B9-A827-E6F170AD9C2F}"/>
              </c:ext>
            </c:extLst>
          </c:dPt>
          <c:dPt>
            <c:idx val="6"/>
            <c:bubble3D val="0"/>
            <c:spPr>
              <a:solidFill>
                <a:srgbClr val="00A2D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860-42B9-A827-E6F170AD9C2F}"/>
              </c:ext>
            </c:extLst>
          </c:dPt>
          <c:dPt>
            <c:idx val="7"/>
            <c:bubble3D val="0"/>
            <c:spPr>
              <a:solidFill>
                <a:srgbClr val="FFDC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9860-42B9-A827-E6F170AD9C2F}"/>
              </c:ext>
            </c:extLst>
          </c:dPt>
          <c:dPt>
            <c:idx val="8"/>
            <c:bubble3D val="0"/>
            <c:spPr>
              <a:solidFill>
                <a:srgbClr val="8874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9860-42B9-A827-E6F170AD9C2F}"/>
              </c:ext>
            </c:extLst>
          </c:dPt>
          <c:cat>
            <c:strRef>
              <c:f>('New capacities'!$B$53,'New capacities'!$B$55:$B$58,'New capacities'!$B$61:$B$64)</c:f>
              <c:strCache>
                <c:ptCount val="9"/>
                <c:pt idx="0">
                  <c:v>Nuclear</c:v>
                </c:pt>
                <c:pt idx="1">
                  <c:v>Coal/Lignite</c:v>
                </c:pt>
                <c:pt idx="2">
                  <c:v>Gas</c:v>
                </c:pt>
                <c:pt idx="3">
                  <c:v>Oil</c:v>
                </c:pt>
                <c:pt idx="4">
                  <c:v>Biomass</c:v>
                </c:pt>
                <c:pt idx="5">
                  <c:v>Hydro</c:v>
                </c:pt>
                <c:pt idx="6">
                  <c:v>Wind</c:v>
                </c:pt>
                <c:pt idx="7">
                  <c:v>Solar*</c:v>
                </c:pt>
                <c:pt idx="8">
                  <c:v>Geothermal, Marine, etc</c:v>
                </c:pt>
              </c:strCache>
            </c:strRef>
          </c:cat>
          <c:val>
            <c:numRef>
              <c:f>('New capacities'!$E$53,'New capacities'!$E$55:$E$58,'New capacities'!$E$61:$E$64)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200</c:v>
                </c:pt>
                <c:pt idx="3">
                  <c:v>0</c:v>
                </c:pt>
                <c:pt idx="4">
                  <c:v>0</c:v>
                </c:pt>
                <c:pt idx="5">
                  <c:v>310</c:v>
                </c:pt>
                <c:pt idx="6">
                  <c:v>0</c:v>
                </c:pt>
                <c:pt idx="7">
                  <c:v>514</c:v>
                </c:pt>
                <c:pt idx="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9860-42B9-A827-E6F170AD9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solidFill>
          <a:schemeClr val="bg1"/>
        </a:solidFill>
        <a:ln>
          <a:solidFill>
            <a:sysClr val="window" lastClr="FFFFFF">
              <a:lumMod val="85000"/>
            </a:sysClr>
          </a:solidFill>
        </a:ln>
        <a:effectLst/>
      </c:spPr>
    </c:plotArea>
    <c:legend>
      <c:legendPos val="b"/>
      <c:layout>
        <c:manualLayout>
          <c:xMode val="edge"/>
          <c:yMode val="edge"/>
          <c:x val="1.3637681159420288E-2"/>
          <c:y val="0.13281597222222222"/>
          <c:w val="0.34079227053140099"/>
          <c:h val="0.84072569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Under development (MW)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8394299516908215"/>
          <c:y val="0.19253819444444445"/>
          <c:w val="0.7994931216931217"/>
          <c:h val="0.6218923611111110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EC662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2-98AC-4094-99A1-CCABAD73945B}"/>
              </c:ext>
            </c:extLst>
          </c:dPt>
          <c:dPt>
            <c:idx val="1"/>
            <c:bubble3D val="0"/>
            <c:spPr>
              <a:solidFill>
                <a:srgbClr val="85490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4-98AC-4094-99A1-CCABAD73945B}"/>
              </c:ext>
            </c:extLst>
          </c:dPt>
          <c:dPt>
            <c:idx val="2"/>
            <c:bubble3D val="0"/>
            <c:spPr>
              <a:solidFill>
                <a:srgbClr val="80808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6-98AC-4094-99A1-CCABAD73945B}"/>
              </c:ext>
            </c:extLst>
          </c:dPt>
          <c:dPt>
            <c:idx val="3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8-98AC-4094-99A1-CCABAD73945B}"/>
              </c:ext>
            </c:extLst>
          </c:dPt>
          <c:dPt>
            <c:idx val="4"/>
            <c:bubble3D val="0"/>
            <c:spPr>
              <a:solidFill>
                <a:srgbClr val="006A4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A-98AC-4094-99A1-CCABAD73945B}"/>
              </c:ext>
            </c:extLst>
          </c:dPt>
          <c:dPt>
            <c:idx val="5"/>
            <c:bubble3D val="0"/>
            <c:spPr>
              <a:solidFill>
                <a:srgbClr val="00758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C-98AC-4094-99A1-CCABAD73945B}"/>
              </c:ext>
            </c:extLst>
          </c:dPt>
          <c:dPt>
            <c:idx val="6"/>
            <c:bubble3D val="0"/>
            <c:spPr>
              <a:solidFill>
                <a:srgbClr val="00A2D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E-98AC-4094-99A1-CCABAD73945B}"/>
              </c:ext>
            </c:extLst>
          </c:dPt>
          <c:dPt>
            <c:idx val="7"/>
            <c:bubble3D val="0"/>
            <c:spPr>
              <a:solidFill>
                <a:srgbClr val="FFDC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0-98AC-4094-99A1-CCABAD73945B}"/>
              </c:ext>
            </c:extLst>
          </c:dPt>
          <c:dPt>
            <c:idx val="8"/>
            <c:bubble3D val="0"/>
            <c:spPr>
              <a:solidFill>
                <a:srgbClr val="8874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2-98AC-4094-99A1-CCABAD73945B}"/>
              </c:ext>
            </c:extLst>
          </c:dPt>
          <c:cat>
            <c:strRef>
              <c:f>('New capacities'!$B$53,'New capacities'!$B$55:$B$58,'New capacities'!$B$61:$B$64)</c:f>
              <c:strCache>
                <c:ptCount val="9"/>
                <c:pt idx="0">
                  <c:v>Nuclear</c:v>
                </c:pt>
                <c:pt idx="1">
                  <c:v>Coal/Lignite</c:v>
                </c:pt>
                <c:pt idx="2">
                  <c:v>Gas</c:v>
                </c:pt>
                <c:pt idx="3">
                  <c:v>Oil</c:v>
                </c:pt>
                <c:pt idx="4">
                  <c:v>Biomass</c:v>
                </c:pt>
                <c:pt idx="5">
                  <c:v>Hydro</c:v>
                </c:pt>
                <c:pt idx="6">
                  <c:v>Wind</c:v>
                </c:pt>
                <c:pt idx="7">
                  <c:v>Solar*</c:v>
                </c:pt>
                <c:pt idx="8">
                  <c:v>Geothermal, Marine, etc</c:v>
                </c:pt>
              </c:strCache>
            </c:strRef>
          </c:cat>
          <c:val>
            <c:numRef>
              <c:f>('New capacities'!$G$53,'New capacities'!$G$55:$G$58,'New capacities'!$G$61:$G$64)</c:f>
              <c:numCache>
                <c:formatCode>#,##0</c:formatCode>
                <c:ptCount val="9"/>
                <c:pt idx="0">
                  <c:v>1000</c:v>
                </c:pt>
                <c:pt idx="1">
                  <c:v>0</c:v>
                </c:pt>
                <c:pt idx="2">
                  <c:v>1545</c:v>
                </c:pt>
                <c:pt idx="3">
                  <c:v>0</c:v>
                </c:pt>
                <c:pt idx="4">
                  <c:v>0</c:v>
                </c:pt>
                <c:pt idx="5">
                  <c:v>947</c:v>
                </c:pt>
                <c:pt idx="6">
                  <c:v>1365</c:v>
                </c:pt>
                <c:pt idx="7">
                  <c:v>377</c:v>
                </c:pt>
                <c:pt idx="8">
                  <c:v>99.599999999999909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98AC-4094-99A1-CCABAD739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solidFill>
          <a:schemeClr val="bg1"/>
        </a:solidFill>
        <a:ln>
          <a:solidFill>
            <a:sysClr val="window" lastClr="FFFFFF">
              <a:lumMod val="85000"/>
            </a:sysClr>
          </a:solidFill>
        </a:ln>
        <a:effectLst/>
      </c:spPr>
    </c:plotArea>
    <c:legend>
      <c:legendPos val="b"/>
      <c:layout>
        <c:manualLayout>
          <c:xMode val="edge"/>
          <c:yMode val="edge"/>
          <c:x val="1.3637681159420288E-2"/>
          <c:y val="0.13281597222222222"/>
          <c:w val="0.34079227053140099"/>
          <c:h val="0.84072569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100" b="1" i="0" u="none" strike="noStrike" kern="1200" spc="0" baseline="0">
                <a:solidFill>
                  <a:srgbClr val="0A758F">
                    <a:lumMod val="75000"/>
                  </a:srgbClr>
                </a:solidFill>
                <a:latin typeface="+mn-lt"/>
                <a:ea typeface="+mn-ea"/>
                <a:cs typeface="+mn-cs"/>
              </a:defRPr>
            </a:pPr>
            <a:r>
              <a:rPr lang="fr-FR" sz="1100" b="1" i="0" u="none" strike="noStrike" kern="1200" spc="0" baseline="0">
                <a:solidFill>
                  <a:srgbClr val="0A758F">
                    <a:lumMod val="75000"/>
                  </a:srgbClr>
                </a:solidFill>
                <a:latin typeface="+mn-lt"/>
                <a:ea typeface="+mn-ea"/>
                <a:cs typeface="+mn-cs"/>
              </a:rPr>
              <a:t>Capacity expansion by status (MW)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100" b="1" i="0" u="none" strike="noStrike" kern="1200" spc="0" baseline="0">
              <a:solidFill>
                <a:srgbClr val="0A758F">
                  <a:lumMod val="75000"/>
                </a:srgb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9024050565108"/>
          <c:y val="0.16587156605424322"/>
          <c:w val="0.7994931216931217"/>
          <c:h val="0.621892361111111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'New capacities'!$B$53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EC6625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EC662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03-41EA-99D2-6D4BA9C4E560}"/>
              </c:ext>
            </c:extLst>
          </c:dPt>
          <c:cat>
            <c:strRef>
              <c:f>('New capacities'!$C$52,'New capacities'!$E$52,'New capacities'!$G$52)</c:f>
              <c:strCache>
                <c:ptCount val="3"/>
                <c:pt idx="0">
                  <c:v>Operational (MW)
(12-2024)</c:v>
                </c:pt>
                <c:pt idx="1">
                  <c:v>Under construction (MW)</c:v>
                </c:pt>
                <c:pt idx="2">
                  <c:v>Under development (MW)</c:v>
                </c:pt>
              </c:strCache>
            </c:strRef>
          </c:cat>
          <c:val>
            <c:numRef>
              <c:f>('New capacities'!$C$53,'New capacities'!$E$53,'New capacities'!$G$53)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303-41EA-99D2-6D4BA9C4E560}"/>
            </c:ext>
          </c:extLst>
        </c:ser>
        <c:ser>
          <c:idx val="1"/>
          <c:order val="1"/>
          <c:tx>
            <c:strRef>
              <c:f>'New capacities'!$B$55</c:f>
              <c:strCache>
                <c:ptCount val="1"/>
                <c:pt idx="0">
                  <c:v>Coal/Lignite</c:v>
                </c:pt>
              </c:strCache>
            </c:strRef>
          </c:tx>
          <c:spPr>
            <a:solidFill>
              <a:srgbClr val="854907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85490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54-47CA-9559-0E0BCC13C5BE}"/>
              </c:ext>
            </c:extLst>
          </c:dPt>
          <c:cat>
            <c:strRef>
              <c:f>('New capacities'!$C$52,'New capacities'!$E$52,'New capacities'!$G$52)</c:f>
              <c:strCache>
                <c:ptCount val="3"/>
                <c:pt idx="0">
                  <c:v>Operational (MW)
(12-2024)</c:v>
                </c:pt>
                <c:pt idx="1">
                  <c:v>Under construction (MW)</c:v>
                </c:pt>
                <c:pt idx="2">
                  <c:v>Under development (MW)</c:v>
                </c:pt>
              </c:strCache>
            </c:strRef>
          </c:cat>
          <c:val>
            <c:numRef>
              <c:f>('New capacities'!$C$55,'New capacities'!$E$55,'New capacities'!$G$55)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9-E303-41EA-99D2-6D4BA9C4E560}"/>
            </c:ext>
          </c:extLst>
        </c:ser>
        <c:ser>
          <c:idx val="2"/>
          <c:order val="2"/>
          <c:tx>
            <c:strRef>
              <c:f>'New capacities'!$B$56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80808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54-47CA-9559-0E0BCC13C5BE}"/>
              </c:ext>
            </c:extLst>
          </c:dPt>
          <c:cat>
            <c:strRef>
              <c:f>('New capacities'!$C$52,'New capacities'!$E$52,'New capacities'!$G$52)</c:f>
              <c:strCache>
                <c:ptCount val="3"/>
                <c:pt idx="0">
                  <c:v>Operational (MW)
(12-2024)</c:v>
                </c:pt>
                <c:pt idx="1">
                  <c:v>Under construction (MW)</c:v>
                </c:pt>
                <c:pt idx="2">
                  <c:v>Under development (MW)</c:v>
                </c:pt>
              </c:strCache>
            </c:strRef>
          </c:cat>
          <c:val>
            <c:numRef>
              <c:f>('New capacities'!$C$56,'New capacities'!$E$56,'New capacities'!$G$56)</c:f>
              <c:numCache>
                <c:formatCode>#,##0</c:formatCode>
                <c:ptCount val="3"/>
                <c:pt idx="0">
                  <c:v>2673</c:v>
                </c:pt>
                <c:pt idx="1">
                  <c:v>200</c:v>
                </c:pt>
                <c:pt idx="2">
                  <c:v>1545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A-E303-41EA-99D2-6D4BA9C4E560}"/>
            </c:ext>
          </c:extLst>
        </c:ser>
        <c:ser>
          <c:idx val="3"/>
          <c:order val="3"/>
          <c:tx>
            <c:strRef>
              <c:f>'New capacities'!$B$57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54-47CA-9559-0E0BCC13C5BE}"/>
              </c:ext>
            </c:extLst>
          </c:dPt>
          <c:cat>
            <c:strRef>
              <c:f>('New capacities'!$C$52,'New capacities'!$E$52,'New capacities'!$G$52)</c:f>
              <c:strCache>
                <c:ptCount val="3"/>
                <c:pt idx="0">
                  <c:v>Operational (MW)
(12-2024)</c:v>
                </c:pt>
                <c:pt idx="1">
                  <c:v>Under construction (MW)</c:v>
                </c:pt>
                <c:pt idx="2">
                  <c:v>Under development (MW)</c:v>
                </c:pt>
              </c:strCache>
            </c:strRef>
          </c:cat>
          <c:val>
            <c:numRef>
              <c:f>('New capacities'!$C$57,'New capacities'!$E$57,'New capacities'!$G$57)</c:f>
              <c:numCache>
                <c:formatCode>#,##0</c:formatCode>
                <c:ptCount val="3"/>
                <c:pt idx="0">
                  <c:v>1085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B-E303-41EA-99D2-6D4BA9C4E560}"/>
            </c:ext>
          </c:extLst>
        </c:ser>
        <c:ser>
          <c:idx val="4"/>
          <c:order val="4"/>
          <c:tx>
            <c:strRef>
              <c:f>'New capacities'!$B$58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006A48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6A4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554-47CA-9559-0E0BCC13C5BE}"/>
              </c:ext>
            </c:extLst>
          </c:dPt>
          <c:cat>
            <c:strRef>
              <c:f>('New capacities'!$C$52,'New capacities'!$E$52,'New capacities'!$G$52)</c:f>
              <c:strCache>
                <c:ptCount val="3"/>
                <c:pt idx="0">
                  <c:v>Operational (MW)
(12-2024)</c:v>
                </c:pt>
                <c:pt idx="1">
                  <c:v>Under construction (MW)</c:v>
                </c:pt>
                <c:pt idx="2">
                  <c:v>Under development (MW)</c:v>
                </c:pt>
              </c:strCache>
            </c:strRef>
          </c:cat>
          <c:val>
            <c:numRef>
              <c:f>('New capacities'!$C$58,'New capacities'!$E$58,'New capacities'!$G$58)</c:f>
              <c:numCache>
                <c:formatCode>#,##0</c:formatCode>
                <c:ptCount val="3"/>
                <c:pt idx="0">
                  <c:v>8.3699999999999992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C-E303-41EA-99D2-6D4BA9C4E560}"/>
            </c:ext>
          </c:extLst>
        </c:ser>
        <c:ser>
          <c:idx val="5"/>
          <c:order val="5"/>
          <c:tx>
            <c:strRef>
              <c:f>'New capacities'!$B$61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758F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758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554-47CA-9559-0E0BCC13C5BE}"/>
              </c:ext>
            </c:extLst>
          </c:dPt>
          <c:cat>
            <c:strRef>
              <c:f>('New capacities'!$C$52,'New capacities'!$E$52,'New capacities'!$G$52)</c:f>
              <c:strCache>
                <c:ptCount val="3"/>
                <c:pt idx="0">
                  <c:v>Operational (MW)
(12-2024)</c:v>
                </c:pt>
                <c:pt idx="1">
                  <c:v>Under construction (MW)</c:v>
                </c:pt>
                <c:pt idx="2">
                  <c:v>Under development (MW)</c:v>
                </c:pt>
              </c:strCache>
            </c:strRef>
          </c:cat>
          <c:val>
            <c:numRef>
              <c:f>('New capacities'!$C$61,'New capacities'!$E$61,'New capacities'!$G$61)</c:f>
              <c:numCache>
                <c:formatCode>#,##0</c:formatCode>
                <c:ptCount val="3"/>
                <c:pt idx="0">
                  <c:v>1584</c:v>
                </c:pt>
                <c:pt idx="1">
                  <c:v>310</c:v>
                </c:pt>
                <c:pt idx="2">
                  <c:v>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D-E303-41EA-99D2-6D4BA9C4E560}"/>
            </c:ext>
          </c:extLst>
        </c:ser>
        <c:ser>
          <c:idx val="6"/>
          <c:order val="6"/>
          <c:tx>
            <c:strRef>
              <c:f>'New capacities'!$B$62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A2D2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A2D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554-47CA-9559-0E0BCC13C5BE}"/>
              </c:ext>
            </c:extLst>
          </c:dPt>
          <c:cat>
            <c:strRef>
              <c:f>('New capacities'!$C$52,'New capacities'!$E$52,'New capacities'!$G$52)</c:f>
              <c:strCache>
                <c:ptCount val="3"/>
                <c:pt idx="0">
                  <c:v>Operational (MW)
(12-2024)</c:v>
                </c:pt>
                <c:pt idx="1">
                  <c:v>Under construction (MW)</c:v>
                </c:pt>
                <c:pt idx="2">
                  <c:v>Under development (MW)</c:v>
                </c:pt>
              </c:strCache>
            </c:strRef>
          </c:cat>
          <c:val>
            <c:numRef>
              <c:f>('New capacities'!$C$62,'New capacities'!$E$62,'New capacities'!$G$62)</c:f>
              <c:numCache>
                <c:formatCode>#,##0</c:formatCode>
                <c:ptCount val="3"/>
                <c:pt idx="0">
                  <c:v>0.02</c:v>
                </c:pt>
                <c:pt idx="1">
                  <c:v>0</c:v>
                </c:pt>
                <c:pt idx="2">
                  <c:v>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E-E303-41EA-99D2-6D4BA9C4E560}"/>
            </c:ext>
          </c:extLst>
        </c:ser>
        <c:ser>
          <c:idx val="7"/>
          <c:order val="7"/>
          <c:tx>
            <c:strRef>
              <c:f>'New capacities'!$B$63</c:f>
              <c:strCache>
                <c:ptCount val="1"/>
                <c:pt idx="0">
                  <c:v>Solar*</c:v>
                </c:pt>
              </c:strCache>
            </c:strRef>
          </c:tx>
          <c:spPr>
            <a:solidFill>
              <a:srgbClr val="FFDC14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DC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554-47CA-9559-0E0BCC13C5BE}"/>
              </c:ext>
            </c:extLst>
          </c:dPt>
          <c:cat>
            <c:strRef>
              <c:f>('New capacities'!$C$52,'New capacities'!$E$52,'New capacities'!$G$52)</c:f>
              <c:strCache>
                <c:ptCount val="3"/>
                <c:pt idx="0">
                  <c:v>Operational (MW)
(12-2024)</c:v>
                </c:pt>
                <c:pt idx="1">
                  <c:v>Under construction (MW)</c:v>
                </c:pt>
                <c:pt idx="2">
                  <c:v>Under development (MW)</c:v>
                </c:pt>
              </c:strCache>
            </c:strRef>
          </c:cat>
          <c:val>
            <c:numRef>
              <c:f>('New capacities'!$C$63,'New capacities'!$E$63,'New capacities'!$G$63)</c:f>
              <c:numCache>
                <c:formatCode>#,##0</c:formatCode>
                <c:ptCount val="3"/>
                <c:pt idx="0">
                  <c:v>98.34</c:v>
                </c:pt>
                <c:pt idx="1">
                  <c:v>514</c:v>
                </c:pt>
                <c:pt idx="2">
                  <c:v>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F-E303-41EA-99D2-6D4BA9C4E560}"/>
            </c:ext>
          </c:extLst>
        </c:ser>
        <c:ser>
          <c:idx val="8"/>
          <c:order val="8"/>
          <c:tx>
            <c:strRef>
              <c:f>'New capacities'!$B$64</c:f>
              <c:strCache>
                <c:ptCount val="1"/>
                <c:pt idx="0">
                  <c:v>Geothermal, Marine, etc</c:v>
                </c:pt>
              </c:strCache>
            </c:strRef>
          </c:tx>
          <c:spPr>
            <a:solidFill>
              <a:srgbClr val="88740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8874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554-47CA-9559-0E0BCC13C5BE}"/>
              </c:ext>
            </c:extLst>
          </c:dPt>
          <c:cat>
            <c:strRef>
              <c:f>('New capacities'!$C$52,'New capacities'!$E$52,'New capacities'!$G$52)</c:f>
              <c:strCache>
                <c:ptCount val="3"/>
                <c:pt idx="0">
                  <c:v>Operational (MW)
(12-2024)</c:v>
                </c:pt>
                <c:pt idx="1">
                  <c:v>Under construction (MW)</c:v>
                </c:pt>
                <c:pt idx="2">
                  <c:v>Under development (MW)</c:v>
                </c:pt>
              </c:strCache>
            </c:strRef>
          </c:cat>
          <c:val>
            <c:numRef>
              <c:f>('New capacities'!$C$64,'New capacities'!$E$64,'New capacities'!$G$64)</c:f>
              <c:numCache>
                <c:formatCode>#,##0</c:formatCode>
                <c:ptCount val="3"/>
                <c:pt idx="0">
                  <c:v>0</c:v>
                </c:pt>
                <c:pt idx="1">
                  <c:v>20</c:v>
                </c:pt>
                <c:pt idx="2">
                  <c:v>99.599999999999909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0-E303-41EA-99D2-6D4BA9C4E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72361648"/>
        <c:axId val="364625616"/>
      </c:barChart>
      <c:catAx>
        <c:axId val="37236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4625616"/>
        <c:crosses val="autoZero"/>
        <c:auto val="1"/>
        <c:lblAlgn val="ctr"/>
        <c:lblOffset val="100"/>
        <c:noMultiLvlLbl val="0"/>
      </c:catAx>
      <c:valAx>
        <c:axId val="36462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2361648"/>
        <c:crosses val="autoZero"/>
        <c:crossBetween val="between"/>
      </c:valAx>
      <c:spPr>
        <a:solidFill>
          <a:schemeClr val="bg1"/>
        </a:solidFill>
        <a:ln>
          <a:solidFill>
            <a:sysClr val="window" lastClr="FFFFFF">
              <a:lumMod val="85000"/>
            </a:sys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FR" sz="1100" b="1" i="0" u="none" strike="noStrike" kern="1200" spc="0" baseline="0">
                <a:solidFill>
                  <a:srgbClr val="0A758F">
                    <a:lumMod val="75000"/>
                  </a:srgbClr>
                </a:solidFill>
                <a:latin typeface="+mn-lt"/>
                <a:ea typeface="+mn-ea"/>
                <a:cs typeface="+mn-cs"/>
              </a:defRPr>
            </a:pPr>
            <a:r>
              <a:rPr lang="fr-FR" sz="1100" b="1" i="0" u="none" strike="noStrike" kern="1200" spc="0" baseline="0">
                <a:solidFill>
                  <a:srgbClr val="0A758F">
                    <a:lumMod val="75000"/>
                  </a:srgbClr>
                </a:solidFill>
                <a:latin typeface="+mn-lt"/>
                <a:ea typeface="+mn-ea"/>
                <a:cs typeface="+mn-cs"/>
              </a:rPr>
              <a:t>Capacity expansion status by technology (MW)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FR" sz="1100" b="1" i="0" u="none" strike="noStrike" kern="1200" spc="0" baseline="0">
              <a:solidFill>
                <a:srgbClr val="0A758F">
                  <a:lumMod val="75000"/>
                </a:srgb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975430154564016"/>
          <c:y val="0.16587156605424322"/>
          <c:w val="0.69764125838436852"/>
          <c:h val="0.6218923611111110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'New capacities'!$C$52</c:f>
              <c:strCache>
                <c:ptCount val="1"/>
                <c:pt idx="0">
                  <c:v>Operational (MW)
(12-2024)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A758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514-4923-91A9-57125456A102}"/>
              </c:ext>
            </c:extLst>
          </c:dPt>
          <c:cat>
            <c:strRef>
              <c:f>('New capacities'!$B$53,'New capacities'!$B$55:$B$58,'New capacities'!$B$61:$B$64)</c:f>
              <c:strCache>
                <c:ptCount val="9"/>
                <c:pt idx="0">
                  <c:v>Nuclear</c:v>
                </c:pt>
                <c:pt idx="1">
                  <c:v>Coal/Lignite</c:v>
                </c:pt>
                <c:pt idx="2">
                  <c:v>Gas</c:v>
                </c:pt>
                <c:pt idx="3">
                  <c:v>Oil</c:v>
                </c:pt>
                <c:pt idx="4">
                  <c:v>Biomass</c:v>
                </c:pt>
                <c:pt idx="5">
                  <c:v>Hydro</c:v>
                </c:pt>
                <c:pt idx="6">
                  <c:v>Wind</c:v>
                </c:pt>
                <c:pt idx="7">
                  <c:v>Solar*</c:v>
                </c:pt>
                <c:pt idx="8">
                  <c:v>Geothermal, Marine, etc</c:v>
                </c:pt>
              </c:strCache>
            </c:strRef>
          </c:cat>
          <c:val>
            <c:numRef>
              <c:f>('New capacities'!$C$53,'New capacities'!$C$55:$C$58,'New capacities'!$C$61:$C$64)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2673</c:v>
                </c:pt>
                <c:pt idx="3">
                  <c:v>1085</c:v>
                </c:pt>
                <c:pt idx="4">
                  <c:v>8.3699999999999992</c:v>
                </c:pt>
                <c:pt idx="5">
                  <c:v>1584</c:v>
                </c:pt>
                <c:pt idx="6">
                  <c:v>0.02</c:v>
                </c:pt>
                <c:pt idx="7">
                  <c:v>98.34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20-41C0-BA4F-650B112F4FD1}"/>
            </c:ext>
          </c:extLst>
        </c:ser>
        <c:ser>
          <c:idx val="1"/>
          <c:order val="1"/>
          <c:tx>
            <c:strRef>
              <c:f>'New capacities'!$E$52</c:f>
              <c:strCache>
                <c:ptCount val="1"/>
                <c:pt idx="0">
                  <c:v>Under construction (MW)</c:v>
                </c:pt>
              </c:strCache>
            </c:strRef>
          </c:tx>
          <c:spPr>
            <a:solidFill>
              <a:srgbClr val="EC6625"/>
            </a:solidFill>
            <a:ln>
              <a:noFill/>
            </a:ln>
            <a:effectLst/>
          </c:spPr>
          <c:invertIfNegative val="0"/>
          <c:cat>
            <c:strRef>
              <c:f>('New capacities'!$B$53,'New capacities'!$B$55:$B$58,'New capacities'!$B$61:$B$64)</c:f>
              <c:strCache>
                <c:ptCount val="9"/>
                <c:pt idx="0">
                  <c:v>Nuclear</c:v>
                </c:pt>
                <c:pt idx="1">
                  <c:v>Coal/Lignite</c:v>
                </c:pt>
                <c:pt idx="2">
                  <c:v>Gas</c:v>
                </c:pt>
                <c:pt idx="3">
                  <c:v>Oil</c:v>
                </c:pt>
                <c:pt idx="4">
                  <c:v>Biomass</c:v>
                </c:pt>
                <c:pt idx="5">
                  <c:v>Hydro</c:v>
                </c:pt>
                <c:pt idx="6">
                  <c:v>Wind</c:v>
                </c:pt>
                <c:pt idx="7">
                  <c:v>Solar*</c:v>
                </c:pt>
                <c:pt idx="8">
                  <c:v>Geothermal, Marine, etc</c:v>
                </c:pt>
              </c:strCache>
            </c:strRef>
          </c:cat>
          <c:val>
            <c:numRef>
              <c:f>('New capacities'!$E$53,'New capacities'!$E$55:$E$58,'New capacities'!$E$61:$E$64)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200</c:v>
                </c:pt>
                <c:pt idx="3">
                  <c:v>0</c:v>
                </c:pt>
                <c:pt idx="4">
                  <c:v>0</c:v>
                </c:pt>
                <c:pt idx="5">
                  <c:v>310</c:v>
                </c:pt>
                <c:pt idx="6">
                  <c:v>0</c:v>
                </c:pt>
                <c:pt idx="7">
                  <c:v>514</c:v>
                </c:pt>
                <c:pt idx="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20-41C0-BA4F-650B112F4FD1}"/>
            </c:ext>
          </c:extLst>
        </c:ser>
        <c:ser>
          <c:idx val="2"/>
          <c:order val="2"/>
          <c:tx>
            <c:strRef>
              <c:f>'New capacities'!$G$52</c:f>
              <c:strCache>
                <c:ptCount val="1"/>
                <c:pt idx="0">
                  <c:v>Under development (MW)</c:v>
                </c:pt>
              </c:strCache>
            </c:strRef>
          </c:tx>
          <c:spPr>
            <a:solidFill>
              <a:srgbClr val="14A2D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4A2D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53-444F-BA0E-804019B6383D}"/>
              </c:ext>
            </c:extLst>
          </c:dPt>
          <c:dPt>
            <c:idx val="1"/>
            <c:invertIfNegative val="0"/>
            <c:bubble3D val="0"/>
            <c:spPr>
              <a:solidFill>
                <a:srgbClr val="14A2D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53-444F-BA0E-804019B6383D}"/>
              </c:ext>
            </c:extLst>
          </c:dPt>
          <c:dPt>
            <c:idx val="2"/>
            <c:invertIfNegative val="0"/>
            <c:bubble3D val="0"/>
            <c:spPr>
              <a:solidFill>
                <a:srgbClr val="14A2D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20-41C0-BA4F-650B112F4FD1}"/>
              </c:ext>
            </c:extLst>
          </c:dPt>
          <c:dPt>
            <c:idx val="3"/>
            <c:invertIfNegative val="0"/>
            <c:bubble3D val="0"/>
            <c:spPr>
              <a:solidFill>
                <a:srgbClr val="14A2D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53-444F-BA0E-804019B6383D}"/>
              </c:ext>
            </c:extLst>
          </c:dPt>
          <c:dPt>
            <c:idx val="4"/>
            <c:invertIfNegative val="0"/>
            <c:bubble3D val="0"/>
            <c:spPr>
              <a:solidFill>
                <a:srgbClr val="14A2D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F53-444F-BA0E-804019B6383D}"/>
              </c:ext>
            </c:extLst>
          </c:dPt>
          <c:dPt>
            <c:idx val="5"/>
            <c:invertIfNegative val="0"/>
            <c:bubble3D val="0"/>
            <c:spPr>
              <a:solidFill>
                <a:srgbClr val="14A2D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F53-444F-BA0E-804019B6383D}"/>
              </c:ext>
            </c:extLst>
          </c:dPt>
          <c:dPt>
            <c:idx val="6"/>
            <c:invertIfNegative val="0"/>
            <c:bubble3D val="0"/>
            <c:spPr>
              <a:solidFill>
                <a:srgbClr val="14A2D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F53-444F-BA0E-804019B6383D}"/>
              </c:ext>
            </c:extLst>
          </c:dPt>
          <c:dPt>
            <c:idx val="7"/>
            <c:invertIfNegative val="0"/>
            <c:bubble3D val="0"/>
            <c:spPr>
              <a:solidFill>
                <a:srgbClr val="14A2D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F53-444F-BA0E-804019B6383D}"/>
              </c:ext>
            </c:extLst>
          </c:dPt>
          <c:dPt>
            <c:idx val="8"/>
            <c:invertIfNegative val="0"/>
            <c:bubble3D val="0"/>
            <c:spPr>
              <a:solidFill>
                <a:srgbClr val="14A2D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F53-444F-BA0E-804019B6383D}"/>
              </c:ext>
            </c:extLst>
          </c:dPt>
          <c:cat>
            <c:strRef>
              <c:f>('New capacities'!$B$53,'New capacities'!$B$55:$B$58,'New capacities'!$B$61:$B$64)</c:f>
              <c:strCache>
                <c:ptCount val="9"/>
                <c:pt idx="0">
                  <c:v>Nuclear</c:v>
                </c:pt>
                <c:pt idx="1">
                  <c:v>Coal/Lignite</c:v>
                </c:pt>
                <c:pt idx="2">
                  <c:v>Gas</c:v>
                </c:pt>
                <c:pt idx="3">
                  <c:v>Oil</c:v>
                </c:pt>
                <c:pt idx="4">
                  <c:v>Biomass</c:v>
                </c:pt>
                <c:pt idx="5">
                  <c:v>Hydro</c:v>
                </c:pt>
                <c:pt idx="6">
                  <c:v>Wind</c:v>
                </c:pt>
                <c:pt idx="7">
                  <c:v>Solar*</c:v>
                </c:pt>
                <c:pt idx="8">
                  <c:v>Geothermal, Marine, etc</c:v>
                </c:pt>
              </c:strCache>
            </c:strRef>
          </c:cat>
          <c:val>
            <c:numRef>
              <c:f>('New capacities'!$G$53,'New capacities'!$G$55:$G$58,'New capacities'!$G$61:$G$64)</c:f>
              <c:numCache>
                <c:formatCode>#,##0</c:formatCode>
                <c:ptCount val="9"/>
                <c:pt idx="0">
                  <c:v>1000</c:v>
                </c:pt>
                <c:pt idx="1">
                  <c:v>0</c:v>
                </c:pt>
                <c:pt idx="2">
                  <c:v>1545</c:v>
                </c:pt>
                <c:pt idx="3">
                  <c:v>0</c:v>
                </c:pt>
                <c:pt idx="4">
                  <c:v>0</c:v>
                </c:pt>
                <c:pt idx="5">
                  <c:v>947</c:v>
                </c:pt>
                <c:pt idx="6">
                  <c:v>1365</c:v>
                </c:pt>
                <c:pt idx="7">
                  <c:v>377</c:v>
                </c:pt>
                <c:pt idx="8">
                  <c:v>99.599999999999909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20-41C0-BA4F-650B112F4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72361648"/>
        <c:axId val="364625616"/>
      </c:barChart>
      <c:catAx>
        <c:axId val="372361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4625616"/>
        <c:crosses val="autoZero"/>
        <c:auto val="1"/>
        <c:lblAlgn val="ctr"/>
        <c:lblOffset val="100"/>
        <c:noMultiLvlLbl val="0"/>
      </c:catAx>
      <c:valAx>
        <c:axId val="364625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2361648"/>
        <c:crosses val="autoZero"/>
        <c:crossBetween val="between"/>
      </c:valAx>
      <c:spPr>
        <a:solidFill>
          <a:schemeClr val="bg1"/>
        </a:solidFill>
        <a:ln>
          <a:solidFill>
            <a:sysClr val="window" lastClr="FFFFFF">
              <a:lumMod val="85000"/>
            </a:sys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Installed capacities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9024050565108"/>
          <c:y val="0.16587156605424322"/>
          <c:w val="0.7994931216931217"/>
          <c:h val="0.62189236111111101"/>
        </c:manualLayout>
      </c:layout>
      <c:barChart>
        <c:barDir val="col"/>
        <c:grouping val="stacked"/>
        <c:varyColors val="0"/>
        <c:ser>
          <c:idx val="0"/>
          <c:order val="0"/>
          <c:tx>
            <c:v>Nuclear</c:v>
          </c:tx>
          <c:spPr>
            <a:solidFill>
              <a:srgbClr val="EC6625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EC662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6D-4618-881F-04D13ED4A3E0}"/>
              </c:ext>
            </c:extLst>
          </c:dPt>
          <c:cat>
            <c:numRef>
              <c:f>'Power Sector Performances'!$C$26:$J$26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Performances'!$C$27:$J$27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6D-4618-881F-04D13ED4A3E0}"/>
            </c:ext>
          </c:extLst>
        </c:ser>
        <c:ser>
          <c:idx val="1"/>
          <c:order val="1"/>
          <c:tx>
            <c:v>Coal/Lignite</c:v>
          </c:tx>
          <c:spPr>
            <a:solidFill>
              <a:srgbClr val="854907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85490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6D-4618-881F-04D13ED4A3E0}"/>
              </c:ext>
            </c:extLst>
          </c:dPt>
          <c:cat>
            <c:numRef>
              <c:f>'Power Sector Performances'!$C$26:$J$26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Performances'!$C$29:$J$29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6D-4618-881F-04D13ED4A3E0}"/>
            </c:ext>
          </c:extLst>
        </c:ser>
        <c:ser>
          <c:idx val="2"/>
          <c:order val="2"/>
          <c:tx>
            <c:v>Gas</c:v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80808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C6D-4618-881F-04D13ED4A3E0}"/>
              </c:ext>
            </c:extLst>
          </c:dPt>
          <c:cat>
            <c:numRef>
              <c:f>'Power Sector Performances'!$C$26:$J$26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Performances'!$C$30:$J$30</c:f>
              <c:numCache>
                <c:formatCode>#,##0</c:formatCode>
                <c:ptCount val="8"/>
                <c:pt idx="0">
                  <c:v>0</c:v>
                </c:pt>
                <c:pt idx="1">
                  <c:v>340</c:v>
                </c:pt>
                <c:pt idx="2">
                  <c:v>340</c:v>
                </c:pt>
                <c:pt idx="3">
                  <c:v>2529</c:v>
                </c:pt>
                <c:pt idx="4">
                  <c:v>2673</c:v>
                </c:pt>
                <c:pt idx="5">
                  <c:v>2673</c:v>
                </c:pt>
                <c:pt idx="6">
                  <c:v>2673</c:v>
                </c:pt>
                <c:pt idx="7">
                  <c:v>2673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C6D-4618-881F-04D13ED4A3E0}"/>
            </c:ext>
          </c:extLst>
        </c:ser>
        <c:ser>
          <c:idx val="3"/>
          <c:order val="3"/>
          <c:tx>
            <c:v>Oil</c:v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C6D-4618-881F-04D13ED4A3E0}"/>
              </c:ext>
            </c:extLst>
          </c:dPt>
          <c:cat>
            <c:numRef>
              <c:f>'Power Sector Performances'!$C$26:$J$26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Performances'!$C$31:$J$31</c:f>
              <c:numCache>
                <c:formatCode>#,##0</c:formatCode>
                <c:ptCount val="8"/>
                <c:pt idx="0">
                  <c:v>90</c:v>
                </c:pt>
                <c:pt idx="1">
                  <c:v>240</c:v>
                </c:pt>
                <c:pt idx="2">
                  <c:v>645</c:v>
                </c:pt>
                <c:pt idx="3">
                  <c:v>1153</c:v>
                </c:pt>
                <c:pt idx="4">
                  <c:v>1021</c:v>
                </c:pt>
                <c:pt idx="5">
                  <c:v>1080</c:v>
                </c:pt>
                <c:pt idx="6">
                  <c:v>1085</c:v>
                </c:pt>
                <c:pt idx="7">
                  <c:v>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6D-4618-881F-04D13ED4A3E0}"/>
            </c:ext>
          </c:extLst>
        </c:ser>
        <c:ser>
          <c:idx val="4"/>
          <c:order val="4"/>
          <c:tx>
            <c:v>Biomass</c:v>
          </c:tx>
          <c:spPr>
            <a:solidFill>
              <a:srgbClr val="006A48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6A4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C6D-4618-881F-04D13ED4A3E0}"/>
              </c:ext>
            </c:extLst>
          </c:dPt>
          <c:cat>
            <c:numRef>
              <c:f>'Power Sector Performances'!$C$26:$J$26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Performances'!$C$32:$J$32</c:f>
              <c:numCache>
                <c:formatCode>#,##0</c:formatCode>
                <c:ptCount val="8"/>
                <c:pt idx="0">
                  <c:v>0</c:v>
                </c:pt>
                <c:pt idx="1">
                  <c:v>5.774</c:v>
                </c:pt>
                <c:pt idx="2">
                  <c:v>6.774</c:v>
                </c:pt>
                <c:pt idx="3">
                  <c:v>8.3740000000000006</c:v>
                </c:pt>
                <c:pt idx="4">
                  <c:v>8.3740000000000006</c:v>
                </c:pt>
                <c:pt idx="5">
                  <c:v>8.3740000000000006</c:v>
                </c:pt>
                <c:pt idx="6">
                  <c:v>8.3740000000000006</c:v>
                </c:pt>
                <c:pt idx="7">
                  <c:v>8.3740000000000006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C6D-4618-881F-04D13ED4A3E0}"/>
            </c:ext>
          </c:extLst>
        </c:ser>
        <c:ser>
          <c:idx val="5"/>
          <c:order val="5"/>
          <c:tx>
            <c:v>Hydro</c:v>
          </c:tx>
          <c:spPr>
            <a:solidFill>
              <a:srgbClr val="00758F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758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C6D-4618-881F-04D13ED4A3E0}"/>
              </c:ext>
            </c:extLst>
          </c:dPt>
          <c:cat>
            <c:numRef>
              <c:f>'Power Sector Performances'!$C$26:$J$26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Performances'!$C$34:$J$34</c:f>
              <c:numCache>
                <c:formatCode>#,##0</c:formatCode>
                <c:ptCount val="8"/>
                <c:pt idx="0">
                  <c:v>1072</c:v>
                </c:pt>
                <c:pt idx="1">
                  <c:v>1072</c:v>
                </c:pt>
                <c:pt idx="2">
                  <c:v>1180</c:v>
                </c:pt>
                <c:pt idx="3">
                  <c:v>1584</c:v>
                </c:pt>
                <c:pt idx="4">
                  <c:v>1584</c:v>
                </c:pt>
                <c:pt idx="5">
                  <c:v>1584</c:v>
                </c:pt>
                <c:pt idx="6">
                  <c:v>1584</c:v>
                </c:pt>
                <c:pt idx="7">
                  <c:v>1584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C6D-4618-881F-04D13ED4A3E0}"/>
            </c:ext>
          </c:extLst>
        </c:ser>
        <c:ser>
          <c:idx val="6"/>
          <c:order val="6"/>
          <c:tx>
            <c:v>Wind</c:v>
          </c:tx>
          <c:spPr>
            <a:solidFill>
              <a:srgbClr val="00A2D2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A2D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C6D-4618-881F-04D13ED4A3E0}"/>
              </c:ext>
            </c:extLst>
          </c:dPt>
          <c:cat>
            <c:numRef>
              <c:f>'Power Sector Performances'!$C$26:$J$26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Performances'!$C$35:$J$35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C6D-4618-881F-04D13ED4A3E0}"/>
            </c:ext>
          </c:extLst>
        </c:ser>
        <c:ser>
          <c:idx val="7"/>
          <c:order val="7"/>
          <c:tx>
            <c:v>Solar</c:v>
          </c:tx>
          <c:spPr>
            <a:solidFill>
              <a:srgbClr val="FFDC14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DC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C6D-4618-881F-04D13ED4A3E0}"/>
              </c:ext>
            </c:extLst>
          </c:dPt>
          <c:cat>
            <c:numRef>
              <c:f>'Power Sector Performances'!$C$26:$J$26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Performances'!$C$36:$J$36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72.384</c:v>
                </c:pt>
                <c:pt idx="4">
                  <c:v>95.355999999999995</c:v>
                </c:pt>
                <c:pt idx="5">
                  <c:v>98.334999999999994</c:v>
                </c:pt>
                <c:pt idx="6">
                  <c:v>98.334999999999994</c:v>
                </c:pt>
                <c:pt idx="7">
                  <c:v>98.334999999999994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4C6D-4618-881F-04D13ED4A3E0}"/>
            </c:ext>
          </c:extLst>
        </c:ser>
        <c:ser>
          <c:idx val="8"/>
          <c:order val="8"/>
          <c:tx>
            <c:v>Geothermal, Marine, etc</c:v>
          </c:tx>
          <c:spPr>
            <a:solidFill>
              <a:srgbClr val="88740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8874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4C6D-4618-881F-04D13ED4A3E0}"/>
              </c:ext>
            </c:extLst>
          </c:dPt>
          <c:cat>
            <c:numRef>
              <c:f>'Power Sector Performances'!$C$26:$J$26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Performances'!$C$37:$J$37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4.5076789523257332E-13</c:v>
                </c:pt>
                <c:pt idx="4">
                  <c:v>2.0918336507413926E-13</c:v>
                </c:pt>
                <c:pt idx="5">
                  <c:v>4.7918960466297733E-13</c:v>
                </c:pt>
                <c:pt idx="6">
                  <c:v>4.7918960466297733E-13</c:v>
                </c:pt>
                <c:pt idx="7">
                  <c:v>4.7918960466297733E-13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4C6D-4618-881F-04D13ED4A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72361648"/>
        <c:axId val="364625616"/>
      </c:barChart>
      <c:catAx>
        <c:axId val="37236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4625616"/>
        <c:crosses val="autoZero"/>
        <c:auto val="1"/>
        <c:lblAlgn val="ctr"/>
        <c:lblOffset val="100"/>
        <c:noMultiLvlLbl val="0"/>
      </c:catAx>
      <c:valAx>
        <c:axId val="36462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MW</a:t>
                </a:r>
              </a:p>
            </c:rich>
          </c:tx>
          <c:layout>
            <c:manualLayout>
              <c:xMode val="edge"/>
              <c:yMode val="edge"/>
              <c:x val="2.5072074568503525E-2"/>
              <c:y val="4.652777777777778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2361648"/>
        <c:crosses val="autoZero"/>
        <c:crossBetween val="between"/>
      </c:valAx>
      <c:spPr>
        <a:solidFill>
          <a:schemeClr val="bg1"/>
        </a:solidFill>
        <a:ln>
          <a:solidFill>
            <a:sysClr val="window" lastClr="FFFFFF">
              <a:lumMod val="85000"/>
            </a:sys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Power generation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9024050565108"/>
          <c:y val="0.16587156605424322"/>
          <c:w val="0.7994931216931217"/>
          <c:h val="0.621892361111111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'Power Sector Performances'!$B$75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EC6625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EC662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DA9D-424E-A613-5B8AB5DBA861}"/>
              </c:ext>
            </c:extLst>
          </c:dPt>
          <c:cat>
            <c:numRef>
              <c:f>'Power Sector Performances'!$C$74:$J$74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Performances'!$C$75:$J$75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DA9D-424E-A613-5B8AB5DBA861}"/>
            </c:ext>
          </c:extLst>
        </c:ser>
        <c:ser>
          <c:idx val="1"/>
          <c:order val="1"/>
          <c:tx>
            <c:strRef>
              <c:f>'Power Sector Performances'!$B$77</c:f>
              <c:strCache>
                <c:ptCount val="1"/>
                <c:pt idx="0">
                  <c:v>Coal/Lignite</c:v>
                </c:pt>
              </c:strCache>
            </c:strRef>
          </c:tx>
          <c:spPr>
            <a:solidFill>
              <a:srgbClr val="854907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85490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DA9D-424E-A613-5B8AB5DBA861}"/>
              </c:ext>
            </c:extLst>
          </c:dPt>
          <c:cat>
            <c:numRef>
              <c:f>'Power Sector Performances'!$C$74:$J$74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Performances'!$C$77:$J$77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DA9D-424E-A613-5B8AB5DBA861}"/>
            </c:ext>
          </c:extLst>
        </c:ser>
        <c:ser>
          <c:idx val="2"/>
          <c:order val="2"/>
          <c:tx>
            <c:strRef>
              <c:f>'Power Sector Performances'!$B$78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80808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DA9D-424E-A613-5B8AB5DBA861}"/>
              </c:ext>
            </c:extLst>
          </c:dPt>
          <c:cat>
            <c:numRef>
              <c:f>'Power Sector Performances'!$C$74:$J$74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Performances'!$C$78:$J$78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1297.2222200000001</c:v>
                </c:pt>
                <c:pt idx="3">
                  <c:v>10393.9</c:v>
                </c:pt>
                <c:pt idx="4">
                  <c:v>12552.9</c:v>
                </c:pt>
                <c:pt idx="5">
                  <c:v>13965.94</c:v>
                </c:pt>
                <c:pt idx="6">
                  <c:v>14576.60759</c:v>
                </c:pt>
                <c:pt idx="7">
                  <c:v>14553.185160000001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DA9D-424E-A613-5B8AB5DBA861}"/>
            </c:ext>
          </c:extLst>
        </c:ser>
        <c:ser>
          <c:idx val="3"/>
          <c:order val="3"/>
          <c:tx>
            <c:strRef>
              <c:f>'Power Sector Performances'!$B$79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DA9D-424E-A613-5B8AB5DBA861}"/>
              </c:ext>
            </c:extLst>
          </c:dPt>
          <c:cat>
            <c:numRef>
              <c:f>'Power Sector Performances'!$C$74:$J$74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Performances'!$C$79:$J$79</c:f>
              <c:numCache>
                <c:formatCode>#,##0</c:formatCode>
                <c:ptCount val="8"/>
                <c:pt idx="0">
                  <c:v>15</c:v>
                </c:pt>
                <c:pt idx="1">
                  <c:v>618</c:v>
                </c:pt>
                <c:pt idx="2">
                  <c:v>1873.7777799999999</c:v>
                </c:pt>
                <c:pt idx="3">
                  <c:v>671.1</c:v>
                </c:pt>
                <c:pt idx="4">
                  <c:v>267.3</c:v>
                </c:pt>
                <c:pt idx="5">
                  <c:v>441.77300000000002</c:v>
                </c:pt>
                <c:pt idx="6">
                  <c:v>232.99241000000001</c:v>
                </c:pt>
                <c:pt idx="7">
                  <c:v>367.62466999999998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DA9D-424E-A613-5B8AB5DBA861}"/>
            </c:ext>
          </c:extLst>
        </c:ser>
        <c:ser>
          <c:idx val="4"/>
          <c:order val="4"/>
          <c:tx>
            <c:strRef>
              <c:f>'Power Sector Performances'!$B$80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006A48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6A4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DA9D-424E-A613-5B8AB5DBA861}"/>
              </c:ext>
            </c:extLst>
          </c:dPt>
          <c:cat>
            <c:numRef>
              <c:f>'Power Sector Performances'!$C$74:$J$74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Performances'!$C$80:$J$80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DA9D-424E-A613-5B8AB5DBA861}"/>
            </c:ext>
          </c:extLst>
        </c:ser>
        <c:ser>
          <c:idx val="5"/>
          <c:order val="5"/>
          <c:tx>
            <c:strRef>
              <c:f>'Power Sector Performances'!$B$82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rgbClr val="00758F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758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DA9D-424E-A613-5B8AB5DBA861}"/>
              </c:ext>
            </c:extLst>
          </c:dPt>
          <c:cat>
            <c:numRef>
              <c:f>'Power Sector Performances'!$C$74:$J$74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Performances'!$C$82:$J$82</c:f>
              <c:numCache>
                <c:formatCode>#,##0</c:formatCode>
                <c:ptCount val="8"/>
                <c:pt idx="0">
                  <c:v>5801</c:v>
                </c:pt>
                <c:pt idx="1">
                  <c:v>6606</c:v>
                </c:pt>
                <c:pt idx="2">
                  <c:v>6996</c:v>
                </c:pt>
                <c:pt idx="3">
                  <c:v>7251.6</c:v>
                </c:pt>
                <c:pt idx="4">
                  <c:v>7293.2</c:v>
                </c:pt>
                <c:pt idx="5">
                  <c:v>7520.8159999999998</c:v>
                </c:pt>
                <c:pt idx="6">
                  <c:v>8191.9</c:v>
                </c:pt>
                <c:pt idx="7">
                  <c:v>9186.5559599999997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DA9D-424E-A613-5B8AB5DBA861}"/>
            </c:ext>
          </c:extLst>
        </c:ser>
        <c:ser>
          <c:idx val="6"/>
          <c:order val="6"/>
          <c:tx>
            <c:strRef>
              <c:f>'Power Sector Performances'!$B$83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00A2D2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A2D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E-DA9D-424E-A613-5B8AB5DBA861}"/>
              </c:ext>
            </c:extLst>
          </c:dPt>
          <c:cat>
            <c:numRef>
              <c:f>'Power Sector Performances'!$C$74:$J$74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Performances'!$C$83:$J$83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DA9D-424E-A613-5B8AB5DBA861}"/>
            </c:ext>
          </c:extLst>
        </c:ser>
        <c:ser>
          <c:idx val="7"/>
          <c:order val="7"/>
          <c:tx>
            <c:strRef>
              <c:f>'Power Sector Performances'!$B$84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FFDC14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FDC1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2-DA9D-424E-A613-5B8AB5DBA861}"/>
              </c:ext>
            </c:extLst>
          </c:dPt>
          <c:cat>
            <c:numRef>
              <c:f>'Power Sector Performances'!$C$74:$J$74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Performances'!$C$84:$J$84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51.8</c:v>
                </c:pt>
                <c:pt idx="4">
                  <c:v>56.9</c:v>
                </c:pt>
                <c:pt idx="5">
                  <c:v>122.241</c:v>
                </c:pt>
                <c:pt idx="6">
                  <c:v>161.5</c:v>
                </c:pt>
                <c:pt idx="7">
                  <c:v>147.78005999999999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DA9D-424E-A613-5B8AB5DBA861}"/>
            </c:ext>
          </c:extLst>
        </c:ser>
        <c:ser>
          <c:idx val="8"/>
          <c:order val="8"/>
          <c:tx>
            <c:strRef>
              <c:f>'Power Sector Performances'!$B$85</c:f>
              <c:strCache>
                <c:ptCount val="1"/>
                <c:pt idx="0">
                  <c:v>Geothermal, Marine, etc</c:v>
                </c:pt>
              </c:strCache>
            </c:strRef>
          </c:tx>
          <c:spPr>
            <a:solidFill>
              <a:srgbClr val="88740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8874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6-DA9D-424E-A613-5B8AB5DBA861}"/>
              </c:ext>
            </c:extLst>
          </c:dPt>
          <c:cat>
            <c:numRef>
              <c:f>'Power Sector Performances'!$C$74:$J$74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Performances'!$C$85:$J$85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1.0942358130705543E-12</c:v>
                </c:pt>
                <c:pt idx="4">
                  <c:v>0</c:v>
                </c:pt>
                <c:pt idx="5">
                  <c:v>8.9528384705772623E-13</c:v>
                </c:pt>
                <c:pt idx="6">
                  <c:v>0</c:v>
                </c:pt>
                <c:pt idx="7">
                  <c:v>9.6633812063373625E-13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DA9D-424E-A613-5B8AB5DBA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72361648"/>
        <c:axId val="364625616"/>
      </c:barChart>
      <c:catAx>
        <c:axId val="37236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4625616"/>
        <c:crosses val="autoZero"/>
        <c:auto val="1"/>
        <c:lblAlgn val="ctr"/>
        <c:lblOffset val="100"/>
        <c:noMultiLvlLbl val="0"/>
      </c:catAx>
      <c:valAx>
        <c:axId val="36462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GWh</a:t>
                </a:r>
              </a:p>
            </c:rich>
          </c:tx>
          <c:layout>
            <c:manualLayout>
              <c:xMode val="edge"/>
              <c:yMode val="edge"/>
              <c:x val="1.5140877106547485E-2"/>
              <c:y val="3.770833333333334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2361648"/>
        <c:crosses val="autoZero"/>
        <c:crossBetween val="between"/>
      </c:valAx>
      <c:spPr>
        <a:solidFill>
          <a:schemeClr val="bg1"/>
        </a:solidFill>
        <a:ln>
          <a:solidFill>
            <a:sysClr val="window" lastClr="FFFFFF">
              <a:lumMod val="85000"/>
            </a:sys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Thermal power plants inputs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9024050565108"/>
          <c:y val="0.16587156605424322"/>
          <c:w val="0.7994931216931217"/>
          <c:h val="0.62189236111111101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'Power Sector Performances'!$B$126</c:f>
              <c:strCache>
                <c:ptCount val="1"/>
                <c:pt idx="0">
                  <c:v>Coal/Lignite</c:v>
                </c:pt>
              </c:strCache>
            </c:strRef>
          </c:tx>
          <c:spPr>
            <a:solidFill>
              <a:srgbClr val="854907"/>
            </a:solidFill>
            <a:ln>
              <a:noFill/>
            </a:ln>
            <a:effectLst/>
          </c:spPr>
          <c:invertIfNegative val="0"/>
          <c:cat>
            <c:numRef>
              <c:f>'Power Sector Performances'!$C$124:$J$124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Performances'!$C$126:$J$126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04-4345-9418-DB23A44F7FB2}"/>
            </c:ext>
          </c:extLst>
        </c:ser>
        <c:ser>
          <c:idx val="3"/>
          <c:order val="3"/>
          <c:tx>
            <c:strRef>
              <c:f>'Power Sector Performances'!$B$127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cat>
            <c:numRef>
              <c:f>'Power Sector Performances'!$C$124:$J$124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Performances'!$C$127:$J$127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223.05808999999999</c:v>
                </c:pt>
                <c:pt idx="3">
                  <c:v>1687.41111</c:v>
                </c:pt>
                <c:pt idx="4">
                  <c:v>2487.6635799999999</c:v>
                </c:pt>
                <c:pt idx="5">
                  <c:v>2470.1863600000001</c:v>
                </c:pt>
                <c:pt idx="6">
                  <c:v>2664.2444700000001</c:v>
                </c:pt>
                <c:pt idx="7">
                  <c:v>2637.2118300000002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804-4345-9418-DB23A44F7FB2}"/>
            </c:ext>
          </c:extLst>
        </c:ser>
        <c:ser>
          <c:idx val="4"/>
          <c:order val="4"/>
          <c:tx>
            <c:strRef>
              <c:f>'Power Sector Performances'!$B$128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131313"/>
            </a:solidFill>
            <a:ln>
              <a:noFill/>
            </a:ln>
            <a:effectLst/>
          </c:spPr>
          <c:invertIfNegative val="0"/>
          <c:cat>
            <c:numRef>
              <c:f>'Power Sector Performances'!$C$124:$J$124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Performances'!$C$128:$J$128</c:f>
              <c:numCache>
                <c:formatCode>#,##0</c:formatCode>
                <c:ptCount val="8"/>
                <c:pt idx="0">
                  <c:v>6.9480000000000004</c:v>
                </c:pt>
                <c:pt idx="1">
                  <c:v>186.3</c:v>
                </c:pt>
                <c:pt idx="2">
                  <c:v>714.51</c:v>
                </c:pt>
                <c:pt idx="3">
                  <c:v>193.99968999999999</c:v>
                </c:pt>
                <c:pt idx="4">
                  <c:v>81.707970000000003</c:v>
                </c:pt>
                <c:pt idx="5">
                  <c:v>130.48112</c:v>
                </c:pt>
                <c:pt idx="6">
                  <c:v>69.231110000000001</c:v>
                </c:pt>
                <c:pt idx="7">
                  <c:v>110.90544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804-4345-9418-DB23A44F7FB2}"/>
            </c:ext>
          </c:extLst>
        </c:ser>
        <c:ser>
          <c:idx val="5"/>
          <c:order val="5"/>
          <c:tx>
            <c:strRef>
              <c:f>'Power Sector Performances'!$B$129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rgbClr val="006A48"/>
            </a:solidFill>
            <a:ln>
              <a:noFill/>
            </a:ln>
            <a:effectLst/>
          </c:spPr>
          <c:invertIfNegative val="0"/>
          <c:cat>
            <c:numRef>
              <c:f>'Power Sector Performances'!$C$124:$J$124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Performances'!$C$129:$J$129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804-4345-9418-DB23A44F7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72361648"/>
        <c:axId val="3646256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'Power Sector Performances'!$B$124</c15:sqref>
                        </c15:formulaRef>
                      </c:ext>
                    </c:extLst>
                    <c:strCache>
                      <c:ptCount val="1"/>
                      <c:pt idx="0">
                        <c:v>ktoe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'Power Sector Performances'!$C$124:$J$124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1990</c:v>
                      </c:pt>
                      <c:pt idx="1">
                        <c:v>2000</c:v>
                      </c:pt>
                      <c:pt idx="2">
                        <c:v>2010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'Power Sector Performances'!$C$124:$J$124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1990</c:v>
                      </c:pt>
                      <c:pt idx="1">
                        <c:v>2000</c:v>
                      </c:pt>
                      <c:pt idx="2">
                        <c:v>2010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804-4345-9418-DB23A44F7FB2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'Power Sector Performances'!$B$125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'Power Sector Performances'!$C$124:$J$124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1990</c:v>
                      </c:pt>
                      <c:pt idx="1">
                        <c:v>2000</c:v>
                      </c:pt>
                      <c:pt idx="2">
                        <c:v>2010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'Power Sector Performances'!$C$125:$J$125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6.9480000000000004</c:v>
                      </c:pt>
                      <c:pt idx="1">
                        <c:v>186.3</c:v>
                      </c:pt>
                      <c:pt idx="2">
                        <c:v>937.56808999999998</c:v>
                      </c:pt>
                      <c:pt idx="3">
                        <c:v>1881.4108000000001</c:v>
                      </c:pt>
                      <c:pt idx="4">
                        <c:v>2569.3715499999998</c:v>
                      </c:pt>
                      <c:pt idx="5">
                        <c:v>2600.6674800000001</c:v>
                      </c:pt>
                      <c:pt idx="6">
                        <c:v>2733.4755800000003</c:v>
                      </c:pt>
                      <c:pt idx="7">
                        <c:v>2748.1172700000002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804-4345-9418-DB23A44F7FB2}"/>
                  </c:ext>
                </c:extLst>
              </c15:ser>
            </c15:filteredBarSeries>
          </c:ext>
        </c:extLst>
      </c:barChart>
      <c:catAx>
        <c:axId val="37236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4625616"/>
        <c:crosses val="autoZero"/>
        <c:auto val="1"/>
        <c:lblAlgn val="ctr"/>
        <c:lblOffset val="100"/>
        <c:noMultiLvlLbl val="0"/>
      </c:catAx>
      <c:valAx>
        <c:axId val="36462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ktoe</a:t>
                </a:r>
              </a:p>
            </c:rich>
          </c:tx>
          <c:layout>
            <c:manualLayout>
              <c:xMode val="edge"/>
              <c:yMode val="edge"/>
              <c:x val="1.5140877106547485E-2"/>
              <c:y val="3.770833333333334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2361648"/>
        <c:crosses val="autoZero"/>
        <c:crossBetween val="between"/>
      </c:valAx>
      <c:spPr>
        <a:solidFill>
          <a:schemeClr val="bg1"/>
        </a:solidFill>
        <a:ln>
          <a:solidFill>
            <a:sysClr val="window" lastClr="FFFFFF">
              <a:lumMod val="85000"/>
            </a:sys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Average power plants efficiency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9024050565108"/>
          <c:y val="0.16587156605424322"/>
          <c:w val="0.7994931216931217"/>
          <c:h val="0.62189236111111101"/>
        </c:manualLayout>
      </c:layout>
      <c:lineChart>
        <c:grouping val="standard"/>
        <c:varyColors val="0"/>
        <c:ser>
          <c:idx val="1"/>
          <c:order val="1"/>
          <c:tx>
            <c:strRef>
              <c:f>'Power Sector Performances'!$B$152</c:f>
              <c:strCache>
                <c:ptCount val="1"/>
                <c:pt idx="0">
                  <c:v>Global efficiency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'Power Sector Performances'!$C$151:$J$151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Performances'!$C$152:$J$152</c:f>
              <c:numCache>
                <c:formatCode>#,##0</c:formatCode>
                <c:ptCount val="8"/>
                <c:pt idx="0">
                  <c:v>98.881450000000001</c:v>
                </c:pt>
                <c:pt idx="1">
                  <c:v>82.350319999999996</c:v>
                </c:pt>
                <c:pt idx="2">
                  <c:v>56.805370000000003</c:v>
                </c:pt>
                <c:pt idx="3">
                  <c:v>62.948009999999996</c:v>
                </c:pt>
                <c:pt idx="4">
                  <c:v>54.18262</c:v>
                </c:pt>
                <c:pt idx="5">
                  <c:v>58.206980000000001</c:v>
                </c:pt>
                <c:pt idx="6">
                  <c:v>57.708410000000001</c:v>
                </c:pt>
                <c:pt idx="7">
                  <c:v>58.744549999999997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3853-4101-923A-E2BF2A971871}"/>
            </c:ext>
          </c:extLst>
        </c:ser>
        <c:ser>
          <c:idx val="2"/>
          <c:order val="2"/>
          <c:tx>
            <c:strRef>
              <c:f>'Power Sector Performances'!$B$153</c:f>
              <c:strCache>
                <c:ptCount val="1"/>
                <c:pt idx="0">
                  <c:v>Thermal efficiency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'Power Sector Performances'!$C$151:$J$151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Performances'!$C$153:$J$153</c:f>
              <c:numCache>
                <c:formatCode>#,##0</c:formatCode>
                <c:ptCount val="8"/>
                <c:pt idx="0">
                  <c:v>18.566490000000002</c:v>
                </c:pt>
                <c:pt idx="1">
                  <c:v>28.528179999999999</c:v>
                </c:pt>
                <c:pt idx="2">
                  <c:v>29.08653</c:v>
                </c:pt>
                <c:pt idx="3">
                  <c:v>50.578530000000001</c:v>
                </c:pt>
                <c:pt idx="4">
                  <c:v>42.910769999999999</c:v>
                </c:pt>
                <c:pt idx="5">
                  <c:v>47.64405</c:v>
                </c:pt>
                <c:pt idx="6">
                  <c:v>46.593629999999997</c:v>
                </c:pt>
                <c:pt idx="7">
                  <c:v>46.69341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853-4101-923A-E2BF2A971871}"/>
            </c:ext>
          </c:extLst>
        </c:ser>
        <c:ser>
          <c:idx val="3"/>
          <c:order val="3"/>
          <c:tx>
            <c:strRef>
              <c:f>'Power Sector Performances'!$B$154</c:f>
              <c:strCache>
                <c:ptCount val="1"/>
                <c:pt idx="0">
                  <c:v>Efficiency of coal power plants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'Power Sector Performances'!$C$151:$J$151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Performances'!$C$154:$J$154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853-4101-923A-E2BF2A971871}"/>
            </c:ext>
          </c:extLst>
        </c:ser>
        <c:ser>
          <c:idx val="4"/>
          <c:order val="4"/>
          <c:tx>
            <c:strRef>
              <c:f>'Power Sector Performances'!$B$155</c:f>
              <c:strCache>
                <c:ptCount val="1"/>
                <c:pt idx="0">
                  <c:v>Efficiency of gas power plants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'Power Sector Performances'!$C$151:$J$151</c:f>
              <c:numCache>
                <c:formatCode>General</c:formatCode>
                <c:ptCount val="8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'Power Sector Performances'!$C$155:$J$155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50.014380000000003</c:v>
                </c:pt>
                <c:pt idx="3">
                  <c:v>52.973179999999999</c:v>
                </c:pt>
                <c:pt idx="4">
                  <c:v>43.396120000000003</c:v>
                </c:pt>
                <c:pt idx="5">
                  <c:v>48.622680000000003</c:v>
                </c:pt>
                <c:pt idx="6">
                  <c:v>47.052300000000002</c:v>
                </c:pt>
                <c:pt idx="7">
                  <c:v>47.458219999999997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853-4101-923A-E2BF2A971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361648"/>
        <c:axId val="36462561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'Power Sector Performances'!$B$151</c15:sqref>
                        </c15:formulaRef>
                      </c:ext>
                    </c:extLst>
                    <c:strCache>
                      <c:ptCount val="1"/>
                      <c:pt idx="0">
                        <c:v>%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'Power Sector Performances'!$C$151:$J$151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1990</c:v>
                      </c:pt>
                      <c:pt idx="1">
                        <c:v>2000</c:v>
                      </c:pt>
                      <c:pt idx="2">
                        <c:v>2010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'Power Sector Performances'!$C$151:$J$151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1990</c:v>
                      </c:pt>
                      <c:pt idx="1">
                        <c:v>2000</c:v>
                      </c:pt>
                      <c:pt idx="2">
                        <c:v>2010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3853-4101-923A-E2BF2A971871}"/>
                  </c:ext>
                </c:extLst>
              </c15:ser>
            </c15:filteredLineSeries>
          </c:ext>
        </c:extLst>
      </c:lineChart>
      <c:catAx>
        <c:axId val="37236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4625616"/>
        <c:crosses val="autoZero"/>
        <c:auto val="1"/>
        <c:lblAlgn val="ctr"/>
        <c:lblOffset val="100"/>
        <c:noMultiLvlLbl val="0"/>
      </c:catAx>
      <c:valAx>
        <c:axId val="36462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1.5140877106547485E-2"/>
              <c:y val="3.770833333333334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accen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72361648"/>
        <c:crosses val="autoZero"/>
        <c:crossBetween val="between"/>
      </c:valAx>
      <c:spPr>
        <a:solidFill>
          <a:schemeClr val="bg1"/>
        </a:solidFill>
        <a:ln>
          <a:solidFill>
            <a:sysClr val="window" lastClr="FFFFFF">
              <a:lumMod val="85000"/>
            </a:sys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/>
  </c:chart>
  <c:spPr>
    <a:solidFill>
      <a:schemeClr val="bg1">
        <a:lumMod val="95000"/>
      </a:schemeClr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7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enerdata.net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https://www.enerdata.net" TargetMode="Externa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https://www.enerdata.net" TargetMode="Externa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nerdata.net/estore/energy-intelligence.html" TargetMode="External"/><Relationship Id="rId18" Type="http://schemas.openxmlformats.org/officeDocument/2006/relationships/image" Target="../media/image11.png"/><Relationship Id="rId26" Type="http://schemas.openxmlformats.org/officeDocument/2006/relationships/image" Target="../media/image15.png"/><Relationship Id="rId3" Type="http://schemas.openxmlformats.org/officeDocument/2006/relationships/hyperlink" Target="https://d1owejb4br3l12.cloudfront.net/brochure/energy-intelligence-data-platform.pdf" TargetMode="External"/><Relationship Id="rId21" Type="http://schemas.openxmlformats.org/officeDocument/2006/relationships/hyperlink" Target="https://www.enerdata.net/research/global-forecasting-electricity-prices-tool.html" TargetMode="External"/><Relationship Id="rId34" Type="http://schemas.openxmlformats.org/officeDocument/2006/relationships/hyperlink" Target="https://www.enerdata.net/research/world-refineries-database.html" TargetMode="External"/><Relationship Id="rId7" Type="http://schemas.openxmlformats.org/officeDocument/2006/relationships/hyperlink" Target="https://www.enerdata.net/research/schedule-demo.html" TargetMode="External"/><Relationship Id="rId12" Type="http://schemas.openxmlformats.org/officeDocument/2006/relationships/image" Target="../media/image8.png"/><Relationship Id="rId17" Type="http://schemas.openxmlformats.org/officeDocument/2006/relationships/hyperlink" Target="https://www.enerdata.net/research/forecast-enerfuture.html" TargetMode="External"/><Relationship Id="rId25" Type="http://schemas.openxmlformats.org/officeDocument/2006/relationships/hyperlink" Target="https://www.enerdata.net/research/world-energy-efficiency-demand-database.html" TargetMode="External"/><Relationship Id="rId33" Type="http://schemas.openxmlformats.org/officeDocument/2006/relationships/image" Target="../media/image19.png"/><Relationship Id="rId2" Type="http://schemas.openxmlformats.org/officeDocument/2006/relationships/image" Target="../media/image3.png"/><Relationship Id="rId16" Type="http://schemas.openxmlformats.org/officeDocument/2006/relationships/image" Target="../media/image10.png"/><Relationship Id="rId20" Type="http://schemas.openxmlformats.org/officeDocument/2006/relationships/image" Target="../media/image12.png"/><Relationship Id="rId29" Type="http://schemas.openxmlformats.org/officeDocument/2006/relationships/image" Target="../media/image17.png"/><Relationship Id="rId1" Type="http://schemas.openxmlformats.org/officeDocument/2006/relationships/hyperlink" Target="https://www.enerdata.net/" TargetMode="External"/><Relationship Id="rId6" Type="http://schemas.openxmlformats.org/officeDocument/2006/relationships/image" Target="../media/image5.png"/><Relationship Id="rId11" Type="http://schemas.openxmlformats.org/officeDocument/2006/relationships/hyperlink" Target="https://www.enerdata.net/research/global-energy-research.html" TargetMode="External"/><Relationship Id="rId24" Type="http://schemas.openxmlformats.org/officeDocument/2006/relationships/image" Target="../media/image14.png"/><Relationship Id="rId32" Type="http://schemas.openxmlformats.org/officeDocument/2006/relationships/hyperlink" Target="https://www.enerdata.net/research/lng-trade-terminals-and-plants-database.html" TargetMode="External"/><Relationship Id="rId5" Type="http://schemas.openxmlformats.org/officeDocument/2006/relationships/hyperlink" Target="mailto:research@enerdata.net" TargetMode="External"/><Relationship Id="rId15" Type="http://schemas.openxmlformats.org/officeDocument/2006/relationships/hyperlink" Target="https://www.enerdata.net/research/energy-market-data-co2-emissions-database.html" TargetMode="External"/><Relationship Id="rId23" Type="http://schemas.openxmlformats.org/officeDocument/2006/relationships/hyperlink" Target="https://www.enerdata.net/research/monthly-oil-gas-coal-electricity-data.html" TargetMode="External"/><Relationship Id="rId28" Type="http://schemas.openxmlformats.org/officeDocument/2006/relationships/hyperlink" Target="https://www.enerdata.net/research/country-energy-demand-forecast.html" TargetMode="External"/><Relationship Id="rId36" Type="http://schemas.openxmlformats.org/officeDocument/2006/relationships/image" Target="../media/image21.png"/><Relationship Id="rId10" Type="http://schemas.openxmlformats.org/officeDocument/2006/relationships/image" Target="../media/image7.png"/><Relationship Id="rId19" Type="http://schemas.openxmlformats.org/officeDocument/2006/relationships/hyperlink" Target="https://www.enerdata.net/research/h2-database.html" TargetMode="External"/><Relationship Id="rId31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hyperlink" Target="https://www.enerdata.net/energy-research-information-database-free-trial.html" TargetMode="External"/><Relationship Id="rId14" Type="http://schemas.openxmlformats.org/officeDocument/2006/relationships/image" Target="../media/image9.png"/><Relationship Id="rId22" Type="http://schemas.openxmlformats.org/officeDocument/2006/relationships/image" Target="../media/image13.jpeg"/><Relationship Id="rId27" Type="http://schemas.openxmlformats.org/officeDocument/2006/relationships/image" Target="../media/image16.png"/><Relationship Id="rId30" Type="http://schemas.openxmlformats.org/officeDocument/2006/relationships/hyperlink" Target="https://www.enerdata.net/research/power-plant-database.html" TargetMode="External"/><Relationship Id="rId35" Type="http://schemas.openxmlformats.org/officeDocument/2006/relationships/image" Target="../media/image20.png"/><Relationship Id="rId8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152400</xdr:rowOff>
    </xdr:from>
    <xdr:to>
      <xdr:col>15</xdr:col>
      <xdr:colOff>14942</xdr:colOff>
      <xdr:row>3</xdr:row>
      <xdr:rowOff>54757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9A000-3D8C-4F06-8C81-63DA593CA8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301" b="9161"/>
        <a:stretch/>
      </xdr:blipFill>
      <xdr:spPr>
        <a:xfrm>
          <a:off x="9715500" y="152400"/>
          <a:ext cx="1786592" cy="8262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1219200</xdr:colOff>
      <xdr:row>3</xdr:row>
      <xdr:rowOff>11941</xdr:rowOff>
    </xdr:to>
    <xdr:pic>
      <xdr:nvPicPr>
        <xdr:cNvPr id="3" name="Enerdata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165C3D-8B33-4B06-9F00-D993D18CBE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431" r="-11462"/>
        <a:stretch/>
      </xdr:blipFill>
      <xdr:spPr>
        <a:xfrm>
          <a:off x="314325" y="190500"/>
          <a:ext cx="1219200" cy="583441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247648</xdr:colOff>
      <xdr:row>9</xdr:row>
      <xdr:rowOff>0</xdr:rowOff>
    </xdr:from>
    <xdr:to>
      <xdr:col>3</xdr:col>
      <xdr:colOff>361498</xdr:colOff>
      <xdr:row>24</xdr:row>
      <xdr:rowOff>22500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90DA794-7E20-4479-A4A3-1A4331B46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657224</xdr:colOff>
      <xdr:row>9</xdr:row>
      <xdr:rowOff>0</xdr:rowOff>
    </xdr:from>
    <xdr:to>
      <xdr:col>5</xdr:col>
      <xdr:colOff>1018724</xdr:colOff>
      <xdr:row>24</xdr:row>
      <xdr:rowOff>22500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1066CD45-89B5-4C5D-ABFE-1A2DAD974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1266825</xdr:colOff>
      <xdr:row>9</xdr:row>
      <xdr:rowOff>0</xdr:rowOff>
    </xdr:from>
    <xdr:to>
      <xdr:col>8</xdr:col>
      <xdr:colOff>9075</xdr:colOff>
      <xdr:row>24</xdr:row>
      <xdr:rowOff>22500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CF9F4B9C-DE22-4383-A799-4D75C7667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24</xdr:row>
      <xdr:rowOff>190499</xdr:rowOff>
    </xdr:from>
    <xdr:to>
      <xdr:col>4</xdr:col>
      <xdr:colOff>609600</xdr:colOff>
      <xdr:row>49</xdr:row>
      <xdr:rowOff>161924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C7AD46A2-3CB4-4650-9540-55E1632FC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1009650</xdr:colOff>
      <xdr:row>25</xdr:row>
      <xdr:rowOff>0</xdr:rowOff>
    </xdr:from>
    <xdr:to>
      <xdr:col>8</xdr:col>
      <xdr:colOff>19050</xdr:colOff>
      <xdr:row>49</xdr:row>
      <xdr:rowOff>161925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DB96ADF4-6001-4376-91AA-74BBB9674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1219200</xdr:colOff>
      <xdr:row>3</xdr:row>
      <xdr:rowOff>8766</xdr:rowOff>
    </xdr:to>
    <xdr:pic>
      <xdr:nvPicPr>
        <xdr:cNvPr id="2" name="Enerdata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66D941-F784-44DE-B90A-72D769992B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431" r="-11462"/>
        <a:stretch/>
      </xdr:blipFill>
      <xdr:spPr>
        <a:xfrm>
          <a:off x="247650" y="190500"/>
          <a:ext cx="1219200" cy="583441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247648</xdr:colOff>
      <xdr:row>7</xdr:row>
      <xdr:rowOff>0</xdr:rowOff>
    </xdr:from>
    <xdr:to>
      <xdr:col>12</xdr:col>
      <xdr:colOff>9524</xdr:colOff>
      <xdr:row>24</xdr:row>
      <xdr:rowOff>22500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7D31E3D-214A-40E0-B768-F4D6FE5BF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1219200</xdr:colOff>
      <xdr:row>3</xdr:row>
      <xdr:rowOff>8766</xdr:rowOff>
    </xdr:to>
    <xdr:pic>
      <xdr:nvPicPr>
        <xdr:cNvPr id="4" name="Enerdata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62C788-2079-403F-BC30-76AD6E9904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431" r="-11462"/>
        <a:stretch/>
      </xdr:blipFill>
      <xdr:spPr>
        <a:xfrm>
          <a:off x="247650" y="190500"/>
          <a:ext cx="1219200" cy="583441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0</xdr:col>
      <xdr:colOff>247648</xdr:colOff>
      <xdr:row>55</xdr:row>
      <xdr:rowOff>0</xdr:rowOff>
    </xdr:from>
    <xdr:to>
      <xdr:col>12</xdr:col>
      <xdr:colOff>9524</xdr:colOff>
      <xdr:row>72</xdr:row>
      <xdr:rowOff>22500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EB76A2A-3FF0-42B9-BC4F-7A0E427DF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247648</xdr:colOff>
      <xdr:row>105</xdr:row>
      <xdr:rowOff>0</xdr:rowOff>
    </xdr:from>
    <xdr:to>
      <xdr:col>12</xdr:col>
      <xdr:colOff>9524</xdr:colOff>
      <xdr:row>122</xdr:row>
      <xdr:rowOff>22500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92BD7A4E-1671-41C3-80D2-4F035B6EE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247648</xdr:colOff>
      <xdr:row>132</xdr:row>
      <xdr:rowOff>0</xdr:rowOff>
    </xdr:from>
    <xdr:to>
      <xdr:col>12</xdr:col>
      <xdr:colOff>9524</xdr:colOff>
      <xdr:row>149</xdr:row>
      <xdr:rowOff>22500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34294ED5-D03D-41D8-B75B-BA585E16E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247648</xdr:colOff>
      <xdr:row>160</xdr:row>
      <xdr:rowOff>0</xdr:rowOff>
    </xdr:from>
    <xdr:to>
      <xdr:col>12</xdr:col>
      <xdr:colOff>9524</xdr:colOff>
      <xdr:row>177</xdr:row>
      <xdr:rowOff>22500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F2F97C76-163F-4FEC-A58E-BA84710D7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247648</xdr:colOff>
      <xdr:row>186</xdr:row>
      <xdr:rowOff>0</xdr:rowOff>
    </xdr:from>
    <xdr:to>
      <xdr:col>12</xdr:col>
      <xdr:colOff>9524</xdr:colOff>
      <xdr:row>203</xdr:row>
      <xdr:rowOff>22500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67991C63-CF89-4115-BD33-30338CE7CD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188278</xdr:colOff>
      <xdr:row>0</xdr:row>
      <xdr:rowOff>284994</xdr:rowOff>
    </xdr:from>
    <xdr:ext cx="1093320" cy="571500"/>
    <xdr:pic>
      <xdr:nvPicPr>
        <xdr:cNvPr id="2" name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F885E5-DCA1-489C-8D30-253B484D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2603" y="284994"/>
          <a:ext cx="1093320" cy="571500"/>
        </a:xfrm>
        <a:prstGeom prst="rect">
          <a:avLst/>
        </a:prstGeom>
      </xdr:spPr>
    </xdr:pic>
    <xdr:clientData/>
  </xdr:oneCellAnchor>
  <xdr:twoCellAnchor>
    <xdr:from>
      <xdr:col>1</xdr:col>
      <xdr:colOff>154729</xdr:colOff>
      <xdr:row>1</xdr:row>
      <xdr:rowOff>56727</xdr:rowOff>
    </xdr:from>
    <xdr:to>
      <xdr:col>2</xdr:col>
      <xdr:colOff>983615</xdr:colOff>
      <xdr:row>2</xdr:row>
      <xdr:rowOff>54399</xdr:rowOff>
    </xdr:to>
    <xdr:sp macro="" textlink="">
      <xdr:nvSpPr>
        <xdr:cNvPr id="3" name="ZoneText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ED6F38-B8A1-4059-8506-E862A33E9E43}"/>
            </a:ext>
          </a:extLst>
        </xdr:cNvPr>
        <xdr:cNvSpPr txBox="1"/>
      </xdr:nvSpPr>
      <xdr:spPr>
        <a:xfrm>
          <a:off x="469054" y="837777"/>
          <a:ext cx="1781386" cy="245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fr-FR" sz="9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www.enerdata.net</a:t>
          </a:r>
        </a:p>
      </xdr:txBody>
    </xdr:sp>
    <xdr:clientData/>
  </xdr:twoCellAnchor>
  <xdr:twoCellAnchor editAs="oneCell">
    <xdr:from>
      <xdr:col>4</xdr:col>
      <xdr:colOff>114300</xdr:colOff>
      <xdr:row>0</xdr:row>
      <xdr:rowOff>548640</xdr:rowOff>
    </xdr:from>
    <xdr:to>
      <xdr:col>5</xdr:col>
      <xdr:colOff>1183716</xdr:colOff>
      <xdr:row>1</xdr:row>
      <xdr:rowOff>98024</xdr:rowOff>
    </xdr:to>
    <xdr:pic>
      <xdr:nvPicPr>
        <xdr:cNvPr id="4" name="Imag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9E420B-0DE0-4CD6-A6ED-C66BDA21B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5" y="548640"/>
          <a:ext cx="2021916" cy="330434"/>
        </a:xfrm>
        <a:prstGeom prst="rect">
          <a:avLst/>
        </a:prstGeom>
      </xdr:spPr>
    </xdr:pic>
    <xdr:clientData/>
  </xdr:twoCellAnchor>
  <xdr:twoCellAnchor editAs="oneCell">
    <xdr:from>
      <xdr:col>8</xdr:col>
      <xdr:colOff>453390</xdr:colOff>
      <xdr:row>0</xdr:row>
      <xdr:rowOff>542925</xdr:rowOff>
    </xdr:from>
    <xdr:to>
      <xdr:col>10</xdr:col>
      <xdr:colOff>361617</xdr:colOff>
      <xdr:row>1</xdr:row>
      <xdr:rowOff>91790</xdr:rowOff>
    </xdr:to>
    <xdr:pic>
      <xdr:nvPicPr>
        <xdr:cNvPr id="5" name="Imag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EE2EB67-1570-4573-A97E-FCF389E08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93315" y="542925"/>
          <a:ext cx="1575102" cy="32991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228601</xdr:colOff>
      <xdr:row>0</xdr:row>
      <xdr:rowOff>541020</xdr:rowOff>
    </xdr:from>
    <xdr:to>
      <xdr:col>8</xdr:col>
      <xdr:colOff>363856</xdr:colOff>
      <xdr:row>1</xdr:row>
      <xdr:rowOff>87500</xdr:rowOff>
    </xdr:to>
    <xdr:pic>
      <xdr:nvPicPr>
        <xdr:cNvPr id="6" name="Imag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120ED42-16F9-4F92-9F4C-DF942619B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2126" y="541020"/>
          <a:ext cx="1811655" cy="327530"/>
        </a:xfrm>
        <a:prstGeom prst="rect">
          <a:avLst/>
        </a:prstGeom>
      </xdr:spPr>
    </xdr:pic>
    <xdr:clientData/>
  </xdr:twoCellAnchor>
  <xdr:twoCellAnchor editAs="oneCell">
    <xdr:from>
      <xdr:col>5</xdr:col>
      <xdr:colOff>1263015</xdr:colOff>
      <xdr:row>0</xdr:row>
      <xdr:rowOff>548640</xdr:rowOff>
    </xdr:from>
    <xdr:to>
      <xdr:col>7</xdr:col>
      <xdr:colOff>139065</xdr:colOff>
      <xdr:row>1</xdr:row>
      <xdr:rowOff>94989</xdr:rowOff>
    </xdr:to>
    <xdr:pic>
      <xdr:nvPicPr>
        <xdr:cNvPr id="7" name="Imag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97B1BCB-3AB1-4E5B-B741-882005390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740" y="548640"/>
          <a:ext cx="2228850" cy="327399"/>
        </a:xfrm>
        <a:prstGeom prst="rect">
          <a:avLst/>
        </a:prstGeom>
      </xdr:spPr>
    </xdr:pic>
    <xdr:clientData/>
  </xdr:twoCellAnchor>
  <xdr:oneCellAnchor>
    <xdr:from>
      <xdr:col>1</xdr:col>
      <xdr:colOff>188278</xdr:colOff>
      <xdr:row>0</xdr:row>
      <xdr:rowOff>284994</xdr:rowOff>
    </xdr:from>
    <xdr:ext cx="1093320" cy="571500"/>
    <xdr:pic>
      <xdr:nvPicPr>
        <xdr:cNvPr id="8" name="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E60366-0C7D-4D1D-BC5F-DDDB0329C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2603" y="284994"/>
          <a:ext cx="1093320" cy="571500"/>
        </a:xfrm>
        <a:prstGeom prst="rect">
          <a:avLst/>
        </a:prstGeom>
      </xdr:spPr>
    </xdr:pic>
    <xdr:clientData/>
  </xdr:oneCellAnchor>
  <xdr:twoCellAnchor>
    <xdr:from>
      <xdr:col>1</xdr:col>
      <xdr:colOff>154729</xdr:colOff>
      <xdr:row>1</xdr:row>
      <xdr:rowOff>56727</xdr:rowOff>
    </xdr:from>
    <xdr:to>
      <xdr:col>2</xdr:col>
      <xdr:colOff>983615</xdr:colOff>
      <xdr:row>2</xdr:row>
      <xdr:rowOff>54399</xdr:rowOff>
    </xdr:to>
    <xdr:sp macro="" textlink="">
      <xdr:nvSpPr>
        <xdr:cNvPr id="9" name="ZoneText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AA31BB-2781-4E28-9E2C-83B35C2D7DEC}"/>
            </a:ext>
          </a:extLst>
        </xdr:cNvPr>
        <xdr:cNvSpPr txBox="1"/>
      </xdr:nvSpPr>
      <xdr:spPr>
        <a:xfrm>
          <a:off x="469054" y="837777"/>
          <a:ext cx="1781386" cy="245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fr-FR" sz="90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</a:rPr>
            <a:t>www.enerdata.net</a:t>
          </a:r>
        </a:p>
      </xdr:txBody>
    </xdr:sp>
    <xdr:clientData/>
  </xdr:twoCellAnchor>
  <xdr:twoCellAnchor editAs="oneCell">
    <xdr:from>
      <xdr:col>4</xdr:col>
      <xdr:colOff>114300</xdr:colOff>
      <xdr:row>0</xdr:row>
      <xdr:rowOff>548640</xdr:rowOff>
    </xdr:from>
    <xdr:to>
      <xdr:col>5</xdr:col>
      <xdr:colOff>1183716</xdr:colOff>
      <xdr:row>1</xdr:row>
      <xdr:rowOff>98024</xdr:rowOff>
    </xdr:to>
    <xdr:pic>
      <xdr:nvPicPr>
        <xdr:cNvPr id="10" name="Image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E4ABDE-BB16-49B1-8AF1-EFFA17276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5" y="548640"/>
          <a:ext cx="2021916" cy="330434"/>
        </a:xfrm>
        <a:prstGeom prst="rect">
          <a:avLst/>
        </a:prstGeom>
      </xdr:spPr>
    </xdr:pic>
    <xdr:clientData/>
  </xdr:twoCellAnchor>
  <xdr:twoCellAnchor editAs="oneCell">
    <xdr:from>
      <xdr:col>8</xdr:col>
      <xdr:colOff>453390</xdr:colOff>
      <xdr:row>0</xdr:row>
      <xdr:rowOff>542925</xdr:rowOff>
    </xdr:from>
    <xdr:to>
      <xdr:col>10</xdr:col>
      <xdr:colOff>361617</xdr:colOff>
      <xdr:row>1</xdr:row>
      <xdr:rowOff>91790</xdr:rowOff>
    </xdr:to>
    <xdr:pic>
      <xdr:nvPicPr>
        <xdr:cNvPr id="11" name="Image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106C5F8-D0F1-4DF5-B86D-61D0B131F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93315" y="542925"/>
          <a:ext cx="1575102" cy="32991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228601</xdr:colOff>
      <xdr:row>0</xdr:row>
      <xdr:rowOff>541020</xdr:rowOff>
    </xdr:from>
    <xdr:to>
      <xdr:col>8</xdr:col>
      <xdr:colOff>363856</xdr:colOff>
      <xdr:row>1</xdr:row>
      <xdr:rowOff>87500</xdr:rowOff>
    </xdr:to>
    <xdr:pic>
      <xdr:nvPicPr>
        <xdr:cNvPr id="12" name="Image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5AC6210-C85B-4585-9ABC-DC91B043B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2126" y="541020"/>
          <a:ext cx="1811655" cy="327530"/>
        </a:xfrm>
        <a:prstGeom prst="rect">
          <a:avLst/>
        </a:prstGeom>
      </xdr:spPr>
    </xdr:pic>
    <xdr:clientData/>
  </xdr:twoCellAnchor>
  <xdr:twoCellAnchor editAs="oneCell">
    <xdr:from>
      <xdr:col>5</xdr:col>
      <xdr:colOff>1263015</xdr:colOff>
      <xdr:row>0</xdr:row>
      <xdr:rowOff>548640</xdr:rowOff>
    </xdr:from>
    <xdr:to>
      <xdr:col>7</xdr:col>
      <xdr:colOff>139065</xdr:colOff>
      <xdr:row>1</xdr:row>
      <xdr:rowOff>94989</xdr:rowOff>
    </xdr:to>
    <xdr:pic>
      <xdr:nvPicPr>
        <xdr:cNvPr id="13" name="Image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96A728B1-C0D5-43C3-A219-754FF7968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740" y="548640"/>
          <a:ext cx="2228850" cy="327399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333373</xdr:colOff>
      <xdr:row>7</xdr:row>
      <xdr:rowOff>34290</xdr:rowOff>
    </xdr:from>
    <xdr:to>
      <xdr:col>2</xdr:col>
      <xdr:colOff>1620883</xdr:colOff>
      <xdr:row>9</xdr:row>
      <xdr:rowOff>9386</xdr:rowOff>
    </xdr:to>
    <xdr:pic>
      <xdr:nvPicPr>
        <xdr:cNvPr id="14" name="Image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01CAD9A-0C31-4FCC-8769-6200B65A0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47698" y="2139315"/>
          <a:ext cx="2240010" cy="1746746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10</xdr:row>
      <xdr:rowOff>85725</xdr:rowOff>
    </xdr:from>
    <xdr:to>
      <xdr:col>2</xdr:col>
      <xdr:colOff>1601835</xdr:colOff>
      <xdr:row>12</xdr:row>
      <xdr:rowOff>34784</xdr:rowOff>
    </xdr:to>
    <xdr:pic>
      <xdr:nvPicPr>
        <xdr:cNvPr id="15" name="Image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679CEDF-68AE-4880-9199-8DEAC9D4E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28650" y="4152900"/>
          <a:ext cx="2240010" cy="1720709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16</xdr:row>
      <xdr:rowOff>9525</xdr:rowOff>
    </xdr:from>
    <xdr:to>
      <xdr:col>2</xdr:col>
      <xdr:colOff>1620885</xdr:colOff>
      <xdr:row>17</xdr:row>
      <xdr:rowOff>844409</xdr:rowOff>
    </xdr:to>
    <xdr:pic>
      <xdr:nvPicPr>
        <xdr:cNvPr id="16" name="Image 1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2C26B98-7523-4AD7-A853-4DF81A662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47700" y="7000875"/>
          <a:ext cx="2240010" cy="172070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18</xdr:row>
      <xdr:rowOff>171450</xdr:rowOff>
    </xdr:from>
    <xdr:to>
      <xdr:col>2</xdr:col>
      <xdr:colOff>1611360</xdr:colOff>
      <xdr:row>20</xdr:row>
      <xdr:rowOff>815834</xdr:rowOff>
    </xdr:to>
    <xdr:pic>
      <xdr:nvPicPr>
        <xdr:cNvPr id="17" name="Image 1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8DFFE64-BD58-4329-BB47-3527F7E57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38175" y="8934450"/>
          <a:ext cx="2240010" cy="1720709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22</xdr:row>
      <xdr:rowOff>19050</xdr:rowOff>
    </xdr:from>
    <xdr:to>
      <xdr:col>2</xdr:col>
      <xdr:colOff>1592310</xdr:colOff>
      <xdr:row>23</xdr:row>
      <xdr:rowOff>853934</xdr:rowOff>
    </xdr:to>
    <xdr:pic>
      <xdr:nvPicPr>
        <xdr:cNvPr id="18" name="Image 17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2502054-2FAA-4CBB-AE1B-A9DF02077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19125" y="10934700"/>
          <a:ext cx="2240010" cy="1720709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24</xdr:row>
      <xdr:rowOff>171451</xdr:rowOff>
    </xdr:from>
    <xdr:to>
      <xdr:col>2</xdr:col>
      <xdr:colOff>1582785</xdr:colOff>
      <xdr:row>26</xdr:row>
      <xdr:rowOff>817983</xdr:rowOff>
    </xdr:to>
    <xdr:pic>
      <xdr:nvPicPr>
        <xdr:cNvPr id="19" name="Image 1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6493666E-C9E3-458F-919A-3113B06A3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09600" y="12858751"/>
          <a:ext cx="2240010" cy="17228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28</xdr:row>
      <xdr:rowOff>9525</xdr:rowOff>
    </xdr:from>
    <xdr:to>
      <xdr:col>2</xdr:col>
      <xdr:colOff>1573260</xdr:colOff>
      <xdr:row>29</xdr:row>
      <xdr:rowOff>844409</xdr:rowOff>
    </xdr:to>
    <xdr:pic>
      <xdr:nvPicPr>
        <xdr:cNvPr id="20" name="Image 19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EB73D0DC-23AD-464F-9B82-E7406F0A5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00075" y="14849475"/>
          <a:ext cx="2240010" cy="172070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33</xdr:row>
      <xdr:rowOff>0</xdr:rowOff>
    </xdr:from>
    <xdr:to>
      <xdr:col>2</xdr:col>
      <xdr:colOff>1639935</xdr:colOff>
      <xdr:row>34</xdr:row>
      <xdr:rowOff>834884</xdr:rowOff>
    </xdr:to>
    <xdr:pic>
      <xdr:nvPicPr>
        <xdr:cNvPr id="21" name="Image 20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7D6E1FEA-5AA8-4BD3-ADF9-ED72B4F53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66750" y="17573625"/>
          <a:ext cx="2240010" cy="1720709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35</xdr:row>
      <xdr:rowOff>180975</xdr:rowOff>
    </xdr:from>
    <xdr:to>
      <xdr:col>2</xdr:col>
      <xdr:colOff>1630410</xdr:colOff>
      <xdr:row>37</xdr:row>
      <xdr:rowOff>825359</xdr:rowOff>
    </xdr:to>
    <xdr:pic>
      <xdr:nvPicPr>
        <xdr:cNvPr id="22" name="Image 21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E3472613-E1C5-455D-A539-FDBF45A4B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57225" y="19526250"/>
          <a:ext cx="2240010" cy="1720709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39</xdr:row>
      <xdr:rowOff>47625</xdr:rowOff>
    </xdr:from>
    <xdr:to>
      <xdr:col>2</xdr:col>
      <xdr:colOff>1601835</xdr:colOff>
      <xdr:row>40</xdr:row>
      <xdr:rowOff>882509</xdr:rowOff>
    </xdr:to>
    <xdr:pic>
      <xdr:nvPicPr>
        <xdr:cNvPr id="23" name="Image 22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A6437B62-3349-4A16-864B-4A2AF2389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28650" y="21545550"/>
          <a:ext cx="2240010" cy="1720709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44</xdr:row>
      <xdr:rowOff>0</xdr:rowOff>
    </xdr:from>
    <xdr:to>
      <xdr:col>2</xdr:col>
      <xdr:colOff>1639935</xdr:colOff>
      <xdr:row>45</xdr:row>
      <xdr:rowOff>834884</xdr:rowOff>
    </xdr:to>
    <xdr:pic>
      <xdr:nvPicPr>
        <xdr:cNvPr id="24" name="Image 23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E0C9CCC4-AF73-4624-85B1-F07251615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66750" y="24231600"/>
          <a:ext cx="2240010" cy="1720709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46</xdr:row>
      <xdr:rowOff>180975</xdr:rowOff>
    </xdr:from>
    <xdr:to>
      <xdr:col>2</xdr:col>
      <xdr:colOff>1630410</xdr:colOff>
      <xdr:row>48</xdr:row>
      <xdr:rowOff>825359</xdr:rowOff>
    </xdr:to>
    <xdr:pic>
      <xdr:nvPicPr>
        <xdr:cNvPr id="25" name="Image 24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7B80BA82-D9CC-4951-B8CD-48390EA08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57225" y="26184225"/>
          <a:ext cx="2240010" cy="1720709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49</xdr:row>
      <xdr:rowOff>161925</xdr:rowOff>
    </xdr:from>
    <xdr:to>
      <xdr:col>2</xdr:col>
      <xdr:colOff>1620885</xdr:colOff>
      <xdr:row>51</xdr:row>
      <xdr:rowOff>806309</xdr:rowOff>
    </xdr:to>
    <xdr:pic>
      <xdr:nvPicPr>
        <xdr:cNvPr id="26" name="Image 25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7E28CDC5-FD1C-45ED-B305-15706D6B3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47700" y="28127325"/>
          <a:ext cx="2240010" cy="1720709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53</xdr:row>
      <xdr:rowOff>0</xdr:rowOff>
    </xdr:from>
    <xdr:to>
      <xdr:col>2</xdr:col>
      <xdr:colOff>1592310</xdr:colOff>
      <xdr:row>54</xdr:row>
      <xdr:rowOff>834884</xdr:rowOff>
    </xdr:to>
    <xdr:pic>
      <xdr:nvPicPr>
        <xdr:cNvPr id="27" name="Image 26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C3912296-900C-40F5-8B0D-86FC38578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19125" y="30118050"/>
          <a:ext cx="2240010" cy="17207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lf\Downloads\Enerdata_Power_Capacities_GA.xlsx" TargetMode="External"/><Relationship Id="rId1" Type="http://schemas.openxmlformats.org/officeDocument/2006/relationships/externalLinkPath" Target="Enerdata_Power_Capacities_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Intro"/>
      <sheetName val="New capacities"/>
      <sheetName val="Power Sector Performances"/>
      <sheetName val="Services"/>
    </sheetNames>
    <sheetDataSet>
      <sheetData sheetId="0">
        <row r="5">
          <cell r="B5" t="str">
            <v>Unit</v>
          </cell>
          <cell r="C5" t="str">
            <v>operational</v>
          </cell>
          <cell r="D5" t="str">
            <v>operationalShare</v>
          </cell>
          <cell r="E5" t="str">
            <v>ucapproved</v>
          </cell>
          <cell r="F5" t="str">
            <v>ucapprovedShare</v>
          </cell>
          <cell r="G5" t="str">
            <v>planned</v>
          </cell>
          <cell r="H5" t="str">
            <v>plannedShare</v>
          </cell>
          <cell r="K5" t="str">
            <v>Unit</v>
          </cell>
          <cell r="L5">
            <v>1990</v>
          </cell>
          <cell r="M5">
            <v>2000</v>
          </cell>
          <cell r="N5">
            <v>2010</v>
          </cell>
          <cell r="O5">
            <v>2011</v>
          </cell>
          <cell r="P5">
            <v>2012</v>
          </cell>
          <cell r="Q5">
            <v>2013</v>
          </cell>
          <cell r="R5">
            <v>2014</v>
          </cell>
          <cell r="S5">
            <v>2015</v>
          </cell>
          <cell r="T5">
            <v>2016</v>
          </cell>
          <cell r="U5">
            <v>2017</v>
          </cell>
          <cell r="V5">
            <v>2018</v>
          </cell>
          <cell r="W5">
            <v>2019</v>
          </cell>
          <cell r="X5">
            <v>2020</v>
          </cell>
          <cell r="Y5">
            <v>2021</v>
          </cell>
          <cell r="Z5">
            <v>2022</v>
          </cell>
          <cell r="AA5">
            <v>2023</v>
          </cell>
          <cell r="AB5">
            <v>2024</v>
          </cell>
          <cell r="AC5">
            <v>2025</v>
          </cell>
          <cell r="AD5">
            <v>2026</v>
          </cell>
          <cell r="AE5">
            <v>2027</v>
          </cell>
          <cell r="AF5">
            <v>2028</v>
          </cell>
          <cell r="AG5">
            <v>2029</v>
          </cell>
          <cell r="AH5">
            <v>2030</v>
          </cell>
          <cell r="AI5">
            <v>2031</v>
          </cell>
          <cell r="AJ5">
            <v>2032</v>
          </cell>
          <cell r="AK5">
            <v>2033</v>
          </cell>
          <cell r="AL5">
            <v>2034</v>
          </cell>
          <cell r="AM5">
            <v>2035</v>
          </cell>
          <cell r="AN5">
            <v>2036</v>
          </cell>
          <cell r="AO5">
            <v>2037</v>
          </cell>
          <cell r="AP5">
            <v>2038</v>
          </cell>
          <cell r="AQ5">
            <v>2039</v>
          </cell>
          <cell r="AR5">
            <v>2040</v>
          </cell>
          <cell r="AS5">
            <v>2041</v>
          </cell>
          <cell r="AT5">
            <v>2042</v>
          </cell>
          <cell r="AU5">
            <v>2043</v>
          </cell>
          <cell r="AV5">
            <v>2044</v>
          </cell>
          <cell r="AW5">
            <v>2045</v>
          </cell>
          <cell r="AX5">
            <v>2046</v>
          </cell>
          <cell r="AY5">
            <v>2047</v>
          </cell>
          <cell r="AZ5">
            <v>2048</v>
          </cell>
          <cell r="BA5">
            <v>2049</v>
          </cell>
          <cell r="BB5">
            <v>2050</v>
          </cell>
          <cell r="BC5">
            <v>2051</v>
          </cell>
          <cell r="BD5">
            <v>2052</v>
          </cell>
          <cell r="BE5">
            <v>2053</v>
          </cell>
          <cell r="BF5">
            <v>2054</v>
          </cell>
          <cell r="BG5">
            <v>2055</v>
          </cell>
          <cell r="BH5">
            <v>2056</v>
          </cell>
          <cell r="BI5">
            <v>2057</v>
          </cell>
          <cell r="BJ5">
            <v>2058</v>
          </cell>
          <cell r="BK5">
            <v>2059</v>
          </cell>
          <cell r="BL5">
            <v>2060</v>
          </cell>
          <cell r="BM5">
            <v>2061</v>
          </cell>
          <cell r="BN5">
            <v>2062</v>
          </cell>
          <cell r="BO5">
            <v>2063</v>
          </cell>
          <cell r="BP5">
            <v>2064</v>
          </cell>
          <cell r="BQ5">
            <v>2065</v>
          </cell>
          <cell r="BR5">
            <v>2066</v>
          </cell>
          <cell r="BS5">
            <v>2067</v>
          </cell>
          <cell r="BT5">
            <v>2068</v>
          </cell>
          <cell r="BU5">
            <v>2069</v>
          </cell>
          <cell r="BV5">
            <v>2070</v>
          </cell>
          <cell r="BW5">
            <v>2071</v>
          </cell>
          <cell r="BX5">
            <v>2072</v>
          </cell>
          <cell r="BY5">
            <v>2073</v>
          </cell>
          <cell r="BZ5">
            <v>2074</v>
          </cell>
          <cell r="CA5">
            <v>2075</v>
          </cell>
          <cell r="CB5">
            <v>2076</v>
          </cell>
          <cell r="CC5">
            <v>2077</v>
          </cell>
          <cell r="CD5">
            <v>2078</v>
          </cell>
          <cell r="CE5">
            <v>2079</v>
          </cell>
          <cell r="CF5">
            <v>2080</v>
          </cell>
          <cell r="CG5">
            <v>2081</v>
          </cell>
          <cell r="CH5">
            <v>2082</v>
          </cell>
          <cell r="CI5">
            <v>2083</v>
          </cell>
          <cell r="CJ5">
            <v>2084</v>
          </cell>
          <cell r="CK5">
            <v>2085</v>
          </cell>
          <cell r="CL5">
            <v>2086</v>
          </cell>
          <cell r="CM5">
            <v>2087</v>
          </cell>
          <cell r="CN5">
            <v>2088</v>
          </cell>
          <cell r="CO5">
            <v>2089</v>
          </cell>
          <cell r="CP5">
            <v>2090</v>
          </cell>
          <cell r="CQ5">
            <v>2091</v>
          </cell>
          <cell r="CR5">
            <v>2092</v>
          </cell>
          <cell r="CS5">
            <v>2093</v>
          </cell>
          <cell r="CT5">
            <v>2094</v>
          </cell>
          <cell r="CU5">
            <v>2095</v>
          </cell>
          <cell r="CV5">
            <v>2096</v>
          </cell>
          <cell r="CW5">
            <v>2097</v>
          </cell>
          <cell r="CX5">
            <v>2098</v>
          </cell>
          <cell r="CY5">
            <v>2099</v>
          </cell>
          <cell r="CZ5">
            <v>2100</v>
          </cell>
        </row>
        <row r="6">
          <cell r="A6" t="str">
            <v>Nuclear</v>
          </cell>
          <cell r="B6" t="str">
            <v/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</row>
        <row r="7">
          <cell r="A7" t="str">
            <v>Thermal</v>
          </cell>
          <cell r="B7" t="str">
            <v/>
          </cell>
          <cell r="C7">
            <v>451</v>
          </cell>
          <cell r="D7">
            <v>0.56599274625704354</v>
          </cell>
          <cell r="E7">
            <v>0</v>
          </cell>
          <cell r="F7">
            <v>0</v>
          </cell>
          <cell r="G7">
            <v>120</v>
          </cell>
          <cell r="H7">
            <v>0.11349556894382916</v>
          </cell>
        </row>
        <row r="8">
          <cell r="A8" t="str">
            <v>Coal/Lignite</v>
          </cell>
          <cell r="B8" t="str">
            <v/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 t="str">
            <v>Gas</v>
          </cell>
          <cell r="B9" t="str">
            <v/>
          </cell>
          <cell r="C9">
            <v>192.33</v>
          </cell>
          <cell r="D9">
            <v>0.24136892436278756</v>
          </cell>
          <cell r="E9">
            <v>0</v>
          </cell>
          <cell r="F9">
            <v>0</v>
          </cell>
          <cell r="G9">
            <v>120</v>
          </cell>
          <cell r="H9">
            <v>0.11349556894382916</v>
          </cell>
        </row>
        <row r="10">
          <cell r="A10" t="str">
            <v>Oil</v>
          </cell>
          <cell r="B10" t="str">
            <v/>
          </cell>
          <cell r="C10">
            <v>257.47000000000003</v>
          </cell>
          <cell r="D10">
            <v>0.32311785449845015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A11" t="str">
            <v>Biomass</v>
          </cell>
          <cell r="B11" t="str">
            <v/>
          </cell>
          <cell r="C11">
            <v>1.2</v>
          </cell>
          <cell r="D11">
            <v>1.5059673958058807E-3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 t="str">
            <v>Renewables (Excl. Biomass)</v>
          </cell>
          <cell r="B12" t="str">
            <v/>
          </cell>
          <cell r="C12">
            <v>345.83</v>
          </cell>
          <cell r="D12">
            <v>0.4340072537429564</v>
          </cell>
          <cell r="E12">
            <v>323</v>
          </cell>
          <cell r="F12">
            <v>1</v>
          </cell>
          <cell r="G12">
            <v>937.31</v>
          </cell>
          <cell r="H12">
            <v>0.88650443105617083</v>
          </cell>
        </row>
        <row r="13">
          <cell r="A13" t="str">
            <v>Hydro</v>
          </cell>
          <cell r="B13" t="str">
            <v/>
          </cell>
          <cell r="C13">
            <v>334.29</v>
          </cell>
          <cell r="D13">
            <v>0.41952486728662325</v>
          </cell>
          <cell r="E13">
            <v>203</v>
          </cell>
          <cell r="F13">
            <v>0.62848297213622295</v>
          </cell>
          <cell r="G13">
            <v>835</v>
          </cell>
          <cell r="H13">
            <v>0.78974000056747784</v>
          </cell>
        </row>
        <row r="14">
          <cell r="A14" t="str">
            <v>Wind</v>
          </cell>
          <cell r="B14" t="str">
            <v/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Solar*</v>
          </cell>
          <cell r="B15" t="str">
            <v/>
          </cell>
          <cell r="C15">
            <v>11.54</v>
          </cell>
          <cell r="D15">
            <v>1.4482386456333219E-2</v>
          </cell>
          <cell r="E15">
            <v>120</v>
          </cell>
          <cell r="F15">
            <v>0.37151702786377711</v>
          </cell>
          <cell r="G15">
            <v>102.31</v>
          </cell>
          <cell r="H15">
            <v>9.6764430488693015E-2</v>
          </cell>
        </row>
        <row r="16">
          <cell r="A16" t="str">
            <v>Geothermal, Marine, etc</v>
          </cell>
          <cell r="B16" t="str">
            <v/>
          </cell>
          <cell r="C16">
            <v>0.82999999999998408</v>
          </cell>
          <cell r="D16">
            <v>1.0416274487657141E-3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 t="str">
            <v>Total</v>
          </cell>
          <cell r="B17" t="str">
            <v/>
          </cell>
          <cell r="C17">
            <v>796.83</v>
          </cell>
          <cell r="D17">
            <v>1</v>
          </cell>
          <cell r="E17">
            <v>323</v>
          </cell>
          <cell r="F17">
            <v>1</v>
          </cell>
          <cell r="G17">
            <v>1057.31</v>
          </cell>
          <cell r="H17">
            <v>1</v>
          </cell>
        </row>
        <row r="18">
          <cell r="A18" t="str">
            <v>of which carbon free technologies</v>
          </cell>
          <cell r="B18" t="str">
            <v/>
          </cell>
          <cell r="C18">
            <v>345.83</v>
          </cell>
          <cell r="D18">
            <v>0.4340072537429564</v>
          </cell>
          <cell r="E18">
            <v>323</v>
          </cell>
          <cell r="F18">
            <v>1</v>
          </cell>
          <cell r="G18">
            <v>937.31</v>
          </cell>
          <cell r="H18">
            <v>0.88650443105617083</v>
          </cell>
        </row>
        <row r="19">
          <cell r="J19" t="str">
            <v>cmbelerend</v>
          </cell>
          <cell r="K19" t="str">
            <v>%</v>
          </cell>
          <cell r="L19">
            <v>24.874359999999999</v>
          </cell>
          <cell r="M19">
            <v>26.62012</v>
          </cell>
          <cell r="N19">
            <v>28.103570000000001</v>
          </cell>
          <cell r="S19">
            <v>29.16254</v>
          </cell>
          <cell r="T19">
            <v>30.250330000000002</v>
          </cell>
          <cell r="U19">
            <v>29.691590000000001</v>
          </cell>
          <cell r="V19">
            <v>33.111269999999998</v>
          </cell>
          <cell r="W19">
            <v>33.8596</v>
          </cell>
          <cell r="X19">
            <v>35.580109999999998</v>
          </cell>
          <cell r="Y19">
            <v>32.338900000000002</v>
          </cell>
          <cell r="Z19">
            <v>32.274320000000003</v>
          </cell>
          <cell r="AA19">
            <v>32.253300000000003</v>
          </cell>
        </row>
        <row r="20">
          <cell r="J20" t="str">
            <v>cmsie</v>
          </cell>
          <cell r="K20" t="str">
            <v>ktep</v>
          </cell>
        </row>
        <row r="21">
          <cell r="J21" t="str">
            <v>co2ieelepd</v>
          </cell>
          <cell r="K21" t="str">
            <v>gCO2/kWh</v>
          </cell>
          <cell r="L21">
            <v>262.65987999999999</v>
          </cell>
          <cell r="M21">
            <v>326.59948000000003</v>
          </cell>
          <cell r="N21">
            <v>393.94324999999998</v>
          </cell>
          <cell r="S21">
            <v>406.84001000000001</v>
          </cell>
          <cell r="T21">
            <v>406.90082000000001</v>
          </cell>
          <cell r="U21">
            <v>411.29444999999998</v>
          </cell>
          <cell r="V21">
            <v>355.95330999999999</v>
          </cell>
          <cell r="W21">
            <v>346.00495000000001</v>
          </cell>
          <cell r="X21">
            <v>344.48691000000002</v>
          </cell>
          <cell r="Y21">
            <v>373.21521000000001</v>
          </cell>
          <cell r="Z21">
            <v>347.81473999999997</v>
          </cell>
          <cell r="AA21">
            <v>335.52832999999998</v>
          </cell>
        </row>
        <row r="22">
          <cell r="J22" t="str">
            <v>co2iepu</v>
          </cell>
          <cell r="K22" t="str">
            <v>ktCO2</v>
          </cell>
          <cell r="L22">
            <v>206.56433000000001</v>
          </cell>
          <cell r="M22">
            <v>267.87869000000001</v>
          </cell>
          <cell r="N22">
            <v>605.36792000000003</v>
          </cell>
          <cell r="S22">
            <v>688.67916000000002</v>
          </cell>
          <cell r="T22">
            <v>769.38876000000005</v>
          </cell>
          <cell r="U22">
            <v>791.01224999999999</v>
          </cell>
          <cell r="V22">
            <v>686.08891000000006</v>
          </cell>
          <cell r="W22">
            <v>673.13073999999995</v>
          </cell>
          <cell r="X22">
            <v>700.42841999999996</v>
          </cell>
          <cell r="Y22">
            <v>731.49509</v>
          </cell>
          <cell r="Z22">
            <v>682.36845000000005</v>
          </cell>
          <cell r="AA22">
            <v>668.21779000000004</v>
          </cell>
        </row>
        <row r="23">
          <cell r="J23" t="str">
            <v>co2iepugaz</v>
          </cell>
          <cell r="K23" t="str">
            <v>ktCO2</v>
          </cell>
          <cell r="L23">
            <v>124.54357</v>
          </cell>
          <cell r="M23">
            <v>124.08904</v>
          </cell>
          <cell r="N23">
            <v>517.21441000000004</v>
          </cell>
          <cell r="S23">
            <v>565.64801999999997</v>
          </cell>
          <cell r="T23">
            <v>652.66691000000003</v>
          </cell>
          <cell r="U23">
            <v>665.29021</v>
          </cell>
          <cell r="V23">
            <v>564.28178000000003</v>
          </cell>
          <cell r="W23">
            <v>573.41557999999998</v>
          </cell>
          <cell r="X23">
            <v>573.72527000000002</v>
          </cell>
          <cell r="Y23">
            <v>581.09424999999999</v>
          </cell>
          <cell r="Z23">
            <v>535.17781000000002</v>
          </cell>
          <cell r="AA23">
            <v>522.41593</v>
          </cell>
        </row>
        <row r="24">
          <cell r="J24" t="str">
            <v>co2iepupet</v>
          </cell>
          <cell r="K24" t="str">
            <v>ktCO2</v>
          </cell>
          <cell r="L24">
            <v>82.020759999999996</v>
          </cell>
          <cell r="M24">
            <v>143.78964999999999</v>
          </cell>
          <cell r="N24">
            <v>88.153509999999997</v>
          </cell>
          <cell r="S24">
            <v>123.03113999999999</v>
          </cell>
          <cell r="T24">
            <v>116.72185</v>
          </cell>
          <cell r="U24">
            <v>125.72205</v>
          </cell>
          <cell r="V24">
            <v>121.80713</v>
          </cell>
          <cell r="W24">
            <v>99.715159999999997</v>
          </cell>
          <cell r="X24">
            <v>126.70314</v>
          </cell>
          <cell r="Y24">
            <v>150.40083000000001</v>
          </cell>
          <cell r="Z24">
            <v>147.19064</v>
          </cell>
          <cell r="AA24">
            <v>145.80186</v>
          </cell>
        </row>
        <row r="25">
          <cell r="J25" t="str">
            <v>eanmw</v>
          </cell>
          <cell r="K25" t="str">
            <v>MW</v>
          </cell>
          <cell r="L25">
            <v>0</v>
          </cell>
          <cell r="M25">
            <v>0</v>
          </cell>
          <cell r="N25">
            <v>0</v>
          </cell>
          <cell r="S25">
            <v>1.2</v>
          </cell>
          <cell r="T25">
            <v>1.2</v>
          </cell>
          <cell r="U25">
            <v>1.2</v>
          </cell>
          <cell r="V25">
            <v>1.2</v>
          </cell>
          <cell r="W25">
            <v>1.2</v>
          </cell>
          <cell r="X25">
            <v>1.2</v>
          </cell>
          <cell r="Y25">
            <v>1.2</v>
          </cell>
          <cell r="Z25">
            <v>1.2</v>
          </cell>
          <cell r="AA25">
            <v>1.2</v>
          </cell>
          <cell r="AB25">
            <v>1.2</v>
          </cell>
        </row>
        <row r="26">
          <cell r="J26" t="str">
            <v>ebipd</v>
          </cell>
          <cell r="K26" t="str">
            <v>GWh</v>
          </cell>
          <cell r="L26">
            <v>3</v>
          </cell>
          <cell r="M26">
            <v>7</v>
          </cell>
          <cell r="N26">
            <v>8</v>
          </cell>
          <cell r="S26">
            <v>10</v>
          </cell>
          <cell r="T26">
            <v>11</v>
          </cell>
          <cell r="U26">
            <v>10.662000000000001</v>
          </cell>
          <cell r="V26">
            <v>10.752000000000001</v>
          </cell>
          <cell r="W26">
            <v>11.173</v>
          </cell>
          <cell r="X26">
            <v>10.967000000000001</v>
          </cell>
          <cell r="Y26">
            <v>11.127000000000001</v>
          </cell>
          <cell r="Z26">
            <v>11.18572</v>
          </cell>
          <cell r="AA26">
            <v>11.24474</v>
          </cell>
        </row>
        <row r="27">
          <cell r="J27" t="str">
            <v>ecmpd</v>
          </cell>
          <cell r="K27" t="str">
            <v>GWh</v>
          </cell>
          <cell r="L27">
            <v>0</v>
          </cell>
          <cell r="M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J28" t="str">
            <v>edvpd</v>
          </cell>
          <cell r="K28" t="str">
            <v>GWh</v>
          </cell>
          <cell r="L28">
            <v>0</v>
          </cell>
          <cell r="M28">
            <v>0</v>
          </cell>
          <cell r="N28">
            <v>0</v>
          </cell>
          <cell r="S28">
            <v>2</v>
          </cell>
          <cell r="T28">
            <v>2</v>
          </cell>
          <cell r="U28">
            <v>1.92</v>
          </cell>
          <cell r="V28">
            <v>1.92</v>
          </cell>
          <cell r="W28">
            <v>1.92</v>
          </cell>
          <cell r="X28">
            <v>1.92</v>
          </cell>
          <cell r="Y28">
            <v>1.92</v>
          </cell>
          <cell r="Z28">
            <v>1.92</v>
          </cell>
          <cell r="AA28">
            <v>1.92</v>
          </cell>
        </row>
        <row r="29">
          <cell r="J29" t="str">
            <v>eeomw</v>
          </cell>
          <cell r="K29" t="str">
            <v>MW</v>
          </cell>
          <cell r="L29">
            <v>0</v>
          </cell>
          <cell r="M29">
            <v>0</v>
          </cell>
          <cell r="N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J30" t="str">
            <v>eeopd</v>
          </cell>
          <cell r="K30" t="str">
            <v>GWh</v>
          </cell>
          <cell r="L30">
            <v>0</v>
          </cell>
          <cell r="M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1">
          <cell r="J31" t="str">
            <v>egzpd</v>
          </cell>
          <cell r="K31" t="str">
            <v>GWh</v>
          </cell>
          <cell r="L31">
            <v>190</v>
          </cell>
          <cell r="M31">
            <v>235</v>
          </cell>
          <cell r="N31">
            <v>813</v>
          </cell>
          <cell r="S31">
            <v>979</v>
          </cell>
          <cell r="T31">
            <v>1160</v>
          </cell>
          <cell r="U31">
            <v>1105.873</v>
          </cell>
          <cell r="V31">
            <v>1076.5139999999999</v>
          </cell>
          <cell r="W31">
            <v>1125.4459999999999</v>
          </cell>
          <cell r="X31">
            <v>1184.165</v>
          </cell>
          <cell r="Y31">
            <v>1110.251</v>
          </cell>
          <cell r="Z31">
            <v>1022.52206</v>
          </cell>
          <cell r="AA31">
            <v>998.13895000000002</v>
          </cell>
        </row>
        <row r="32">
          <cell r="J32" t="str">
            <v>ehymw</v>
          </cell>
          <cell r="K32" t="str">
            <v>MW</v>
          </cell>
          <cell r="L32">
            <v>166</v>
          </cell>
          <cell r="M32">
            <v>175</v>
          </cell>
          <cell r="N32">
            <v>170</v>
          </cell>
          <cell r="S32">
            <v>170</v>
          </cell>
          <cell r="T32">
            <v>170</v>
          </cell>
          <cell r="U32">
            <v>172.94</v>
          </cell>
          <cell r="V32">
            <v>332.04</v>
          </cell>
          <cell r="W32">
            <v>332</v>
          </cell>
          <cell r="X32">
            <v>332</v>
          </cell>
          <cell r="Y32">
            <v>332.29</v>
          </cell>
          <cell r="Z32">
            <v>334.29</v>
          </cell>
          <cell r="AA32">
            <v>334.29</v>
          </cell>
          <cell r="AB32">
            <v>334.29</v>
          </cell>
        </row>
        <row r="33">
          <cell r="J33" t="str">
            <v>ehypd</v>
          </cell>
          <cell r="K33" t="str">
            <v>GWh</v>
          </cell>
          <cell r="L33">
            <v>705</v>
          </cell>
          <cell r="M33">
            <v>803</v>
          </cell>
          <cell r="N33">
            <v>907</v>
          </cell>
          <cell r="S33">
            <v>918</v>
          </cell>
          <cell r="T33">
            <v>953</v>
          </cell>
          <cell r="U33">
            <v>929.28399999999999</v>
          </cell>
          <cell r="V33">
            <v>986.59799999999996</v>
          </cell>
          <cell r="W33">
            <v>986.59799999999996</v>
          </cell>
          <cell r="X33">
            <v>986.59799999999996</v>
          </cell>
          <cell r="Y33">
            <v>986.59799999999996</v>
          </cell>
          <cell r="Z33">
            <v>1085.2048500000001</v>
          </cell>
          <cell r="AA33">
            <v>1148.14932</v>
          </cell>
        </row>
        <row r="34">
          <cell r="J34" t="str">
            <v>elemw</v>
          </cell>
          <cell r="K34" t="str">
            <v>MW</v>
          </cell>
          <cell r="L34">
            <v>365</v>
          </cell>
          <cell r="M34">
            <v>410</v>
          </cell>
          <cell r="N34">
            <v>442.52</v>
          </cell>
          <cell r="S34">
            <v>510.05799999999999</v>
          </cell>
          <cell r="T34">
            <v>522.06600000000003</v>
          </cell>
          <cell r="U34">
            <v>532.41099999999994</v>
          </cell>
          <cell r="V34">
            <v>750.36599999999999</v>
          </cell>
          <cell r="W34">
            <v>783.09799999999996</v>
          </cell>
          <cell r="X34">
            <v>783.09</v>
          </cell>
          <cell r="Y34">
            <v>783.78</v>
          </cell>
          <cell r="Z34">
            <v>785.8</v>
          </cell>
          <cell r="AA34">
            <v>785.83</v>
          </cell>
          <cell r="AB34">
            <v>796.83</v>
          </cell>
        </row>
        <row r="35">
          <cell r="J35" t="str">
            <v>elemwpop</v>
          </cell>
          <cell r="K35" t="str">
            <v>W/hab</v>
          </cell>
          <cell r="L35">
            <v>371.03525999999999</v>
          </cell>
          <cell r="M35">
            <v>321.42442999999997</v>
          </cell>
          <cell r="N35">
            <v>257.28554000000003</v>
          </cell>
          <cell r="S35">
            <v>249.92785000000001</v>
          </cell>
          <cell r="T35">
            <v>248.58283</v>
          </cell>
          <cell r="U35">
            <v>246.84965</v>
          </cell>
          <cell r="V35">
            <v>339.18270000000001</v>
          </cell>
          <cell r="W35">
            <v>345.32695000000001</v>
          </cell>
          <cell r="X35">
            <v>337.17410000000001</v>
          </cell>
          <cell r="Y35">
            <v>329.77773999999999</v>
          </cell>
          <cell r="Z35">
            <v>321.62540999999999</v>
          </cell>
          <cell r="AA35">
            <v>314.63033999999999</v>
          </cell>
        </row>
        <row r="36">
          <cell r="J36" t="str">
            <v>elepd</v>
          </cell>
          <cell r="K36" t="str">
            <v>GWh</v>
          </cell>
          <cell r="L36">
            <v>1008</v>
          </cell>
          <cell r="M36">
            <v>1315</v>
          </cell>
          <cell r="N36">
            <v>1934</v>
          </cell>
          <cell r="S36">
            <v>2127</v>
          </cell>
          <cell r="T36">
            <v>2338</v>
          </cell>
          <cell r="U36">
            <v>2278.0219999999999</v>
          </cell>
          <cell r="V36">
            <v>2295.3200000000002</v>
          </cell>
          <cell r="W36">
            <v>2306.1149999999998</v>
          </cell>
          <cell r="X36">
            <v>2422.5569999999998</v>
          </cell>
          <cell r="Y36">
            <v>2344.2379999999998</v>
          </cell>
          <cell r="Z36">
            <v>2350.1727799999999</v>
          </cell>
          <cell r="AA36">
            <v>2386.6292800000001</v>
          </cell>
        </row>
        <row r="37">
          <cell r="J37" t="str">
            <v>encie</v>
          </cell>
          <cell r="K37" t="str">
            <v>ktep</v>
          </cell>
          <cell r="L37">
            <v>2.1655099999999998</v>
          </cell>
          <cell r="M37">
            <v>5.5793799999999996</v>
          </cell>
          <cell r="N37">
            <v>7.0824999999999996</v>
          </cell>
          <cell r="S37">
            <v>8.1455099999999998</v>
          </cell>
          <cell r="T37">
            <v>8.45824</v>
          </cell>
          <cell r="U37">
            <v>8.5091900000000003</v>
          </cell>
          <cell r="V37">
            <v>8.5601500000000001</v>
          </cell>
          <cell r="W37">
            <v>8.8658699999999993</v>
          </cell>
          <cell r="X37">
            <v>8.9881499999999992</v>
          </cell>
          <cell r="Y37">
            <v>9.0066100000000002</v>
          </cell>
          <cell r="Z37">
            <v>9.0541400000000003</v>
          </cell>
          <cell r="AA37">
            <v>9.1019199999999998</v>
          </cell>
        </row>
        <row r="38">
          <cell r="J38" t="str">
            <v>enumw</v>
          </cell>
          <cell r="K38" t="str">
            <v>MW</v>
          </cell>
          <cell r="L38">
            <v>0</v>
          </cell>
          <cell r="M38">
            <v>0</v>
          </cell>
          <cell r="N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</row>
        <row r="39">
          <cell r="J39" t="str">
            <v>enupd</v>
          </cell>
          <cell r="K39" t="str">
            <v>GWh</v>
          </cell>
          <cell r="L39">
            <v>0</v>
          </cell>
          <cell r="M39">
            <v>0</v>
          </cell>
          <cell r="N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</row>
        <row r="40">
          <cell r="J40" t="str">
            <v>eptpd</v>
          </cell>
          <cell r="K40" t="str">
            <v>GWh</v>
          </cell>
          <cell r="L40">
            <v>110</v>
          </cell>
          <cell r="M40">
            <v>270</v>
          </cell>
          <cell r="N40">
            <v>206</v>
          </cell>
          <cell r="S40">
            <v>218</v>
          </cell>
          <cell r="T40">
            <v>212</v>
          </cell>
          <cell r="U40">
            <v>230.28299999999999</v>
          </cell>
          <cell r="V40">
            <v>219.536</v>
          </cell>
          <cell r="W40">
            <v>180.97800000000001</v>
          </cell>
          <cell r="X40">
            <v>238.90700000000001</v>
          </cell>
          <cell r="Y40">
            <v>234.34200000000001</v>
          </cell>
          <cell r="Z40">
            <v>229.34014999999999</v>
          </cell>
          <cell r="AA40">
            <v>227.17626999999999</v>
          </cell>
        </row>
        <row r="41">
          <cell r="J41" t="str">
            <v>etcmw</v>
          </cell>
          <cell r="K41" t="str">
            <v>MW</v>
          </cell>
          <cell r="L41">
            <v>0</v>
          </cell>
          <cell r="M41">
            <v>0</v>
          </cell>
          <cell r="N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</row>
        <row r="42">
          <cell r="J42" t="str">
            <v>etgmw</v>
          </cell>
          <cell r="K42" t="str">
            <v>MW</v>
          </cell>
          <cell r="L42">
            <v>0</v>
          </cell>
          <cell r="M42">
            <v>0</v>
          </cell>
          <cell r="N42">
            <v>109.55</v>
          </cell>
          <cell r="S42">
            <v>194.18</v>
          </cell>
          <cell r="T42">
            <v>210.78</v>
          </cell>
          <cell r="U42">
            <v>204.84</v>
          </cell>
          <cell r="V42">
            <v>192.33</v>
          </cell>
          <cell r="W42">
            <v>192.33</v>
          </cell>
          <cell r="X42">
            <v>192.33</v>
          </cell>
          <cell r="Y42">
            <v>192.33</v>
          </cell>
          <cell r="Z42">
            <v>192.33</v>
          </cell>
          <cell r="AA42">
            <v>192.33</v>
          </cell>
          <cell r="AB42">
            <v>192.33</v>
          </cell>
        </row>
        <row r="43">
          <cell r="J43" t="str">
            <v>ethmw</v>
          </cell>
          <cell r="K43" t="str">
            <v>MW</v>
          </cell>
          <cell r="L43">
            <v>199</v>
          </cell>
          <cell r="M43">
            <v>235</v>
          </cell>
          <cell r="N43">
            <v>272.5</v>
          </cell>
          <cell r="S43">
            <v>340</v>
          </cell>
          <cell r="T43">
            <v>352</v>
          </cell>
          <cell r="U43">
            <v>359.39</v>
          </cell>
          <cell r="V43">
            <v>418.24</v>
          </cell>
          <cell r="W43">
            <v>451</v>
          </cell>
          <cell r="X43">
            <v>451</v>
          </cell>
          <cell r="Y43">
            <v>451</v>
          </cell>
          <cell r="Z43">
            <v>451</v>
          </cell>
          <cell r="AA43">
            <v>451</v>
          </cell>
          <cell r="AB43">
            <v>451</v>
          </cell>
        </row>
        <row r="44">
          <cell r="J44" t="str">
            <v>ethpd</v>
          </cell>
          <cell r="K44" t="str">
            <v>GWh</v>
          </cell>
          <cell r="L44">
            <v>303</v>
          </cell>
          <cell r="M44">
            <v>512</v>
          </cell>
          <cell r="N44">
            <v>1027</v>
          </cell>
          <cell r="S44">
            <v>1207</v>
          </cell>
          <cell r="T44">
            <v>1383</v>
          </cell>
          <cell r="U44">
            <v>1346.818</v>
          </cell>
          <cell r="V44">
            <v>1306.8019999999999</v>
          </cell>
          <cell r="W44">
            <v>1317.597</v>
          </cell>
          <cell r="X44">
            <v>1434.039</v>
          </cell>
          <cell r="Y44">
            <v>1355.72</v>
          </cell>
          <cell r="Z44">
            <v>1263.04793</v>
          </cell>
          <cell r="AA44">
            <v>1236.55996</v>
          </cell>
        </row>
        <row r="45">
          <cell r="J45" t="str">
            <v>etpmw</v>
          </cell>
          <cell r="K45" t="str">
            <v>MW</v>
          </cell>
          <cell r="L45">
            <v>199</v>
          </cell>
          <cell r="M45">
            <v>235</v>
          </cell>
          <cell r="N45">
            <v>162.94999999999999</v>
          </cell>
          <cell r="S45">
            <v>144.62</v>
          </cell>
          <cell r="T45">
            <v>140.02000000000001</v>
          </cell>
          <cell r="U45">
            <v>153.35</v>
          </cell>
          <cell r="V45">
            <v>224.71</v>
          </cell>
          <cell r="W45">
            <v>257.47000000000003</v>
          </cell>
          <cell r="X45">
            <v>257.47000000000003</v>
          </cell>
          <cell r="Y45">
            <v>257.47000000000003</v>
          </cell>
          <cell r="Z45">
            <v>257.47000000000003</v>
          </cell>
          <cell r="AA45">
            <v>257.47000000000003</v>
          </cell>
          <cell r="AB45">
            <v>257.47000000000003</v>
          </cell>
        </row>
        <row r="46">
          <cell r="J46" t="str">
            <v>gazelerend</v>
          </cell>
          <cell r="K46" t="str">
            <v>%</v>
          </cell>
          <cell r="L46">
            <v>22.992730000000002</v>
          </cell>
          <cell r="M46">
            <v>21.638030000000001</v>
          </cell>
          <cell r="N46">
            <v>27.46894</v>
          </cell>
          <cell r="S46">
            <v>29.67436</v>
          </cell>
          <cell r="T46">
            <v>31.013449999999999</v>
          </cell>
          <cell r="U46">
            <v>29.005330000000001</v>
          </cell>
          <cell r="V46">
            <v>33.28951</v>
          </cell>
          <cell r="W46">
            <v>34.2483</v>
          </cell>
          <cell r="X46">
            <v>36.015709999999999</v>
          </cell>
          <cell r="Y46">
            <v>33.339449999999999</v>
          </cell>
          <cell r="Z46">
            <v>33.339449999999999</v>
          </cell>
          <cell r="AA46">
            <v>33.339449999999999</v>
          </cell>
        </row>
        <row r="47">
          <cell r="J47" t="str">
            <v>gazie</v>
          </cell>
          <cell r="K47" t="str">
            <v>ktep</v>
          </cell>
          <cell r="L47">
            <v>71.065950000000001</v>
          </cell>
          <cell r="M47">
            <v>93.400350000000003</v>
          </cell>
          <cell r="N47">
            <v>254.53476000000001</v>
          </cell>
          <cell r="S47">
            <v>283.72640000000001</v>
          </cell>
          <cell r="T47">
            <v>321.66692999999998</v>
          </cell>
          <cell r="U47">
            <v>327.88832000000002</v>
          </cell>
          <cell r="V47">
            <v>278.10620999999998</v>
          </cell>
          <cell r="W47">
            <v>282.60773999999998</v>
          </cell>
          <cell r="X47">
            <v>282.76044999999999</v>
          </cell>
          <cell r="Y47">
            <v>286.39217000000002</v>
          </cell>
          <cell r="Z47">
            <v>263.76226000000003</v>
          </cell>
          <cell r="AA47">
            <v>257.47257000000002</v>
          </cell>
        </row>
        <row r="48">
          <cell r="J48" t="str">
            <v>petie</v>
          </cell>
          <cell r="K48" t="str">
            <v>ktep</v>
          </cell>
          <cell r="L48">
            <v>31.527000000000001</v>
          </cell>
          <cell r="M48">
            <v>66.429000000000002</v>
          </cell>
          <cell r="N48">
            <v>52.655999999999999</v>
          </cell>
          <cell r="S48">
            <v>64.070999999999998</v>
          </cell>
          <cell r="T48">
            <v>63.054000000000002</v>
          </cell>
          <cell r="U48">
            <v>53.700650000000003</v>
          </cell>
          <cell r="V48">
            <v>52.749760000000002</v>
          </cell>
          <cell r="W48">
            <v>43.182839999999999</v>
          </cell>
          <cell r="X48">
            <v>54.870199999999997</v>
          </cell>
          <cell r="Y48">
            <v>65.132750000000001</v>
          </cell>
          <cell r="Z48">
            <v>63.742539999999998</v>
          </cell>
          <cell r="AA48">
            <v>63.141109999999998</v>
          </cell>
        </row>
        <row r="49">
          <cell r="J49" t="str">
            <v>rendele</v>
          </cell>
          <cell r="K49" t="str">
            <v>%</v>
          </cell>
          <cell r="L49">
            <v>52.41478</v>
          </cell>
          <cell r="M49">
            <v>48.232860000000002</v>
          </cell>
          <cell r="N49">
            <v>42.399819999999998</v>
          </cell>
          <cell r="S49">
            <v>42.04495</v>
          </cell>
          <cell r="T49">
            <v>42.302570000000003</v>
          </cell>
          <cell r="U49">
            <v>41.666849999999997</v>
          </cell>
          <cell r="V49">
            <v>46.509</v>
          </cell>
          <cell r="W49">
            <v>47.257689999999997</v>
          </cell>
          <cell r="X49">
            <v>48.26802</v>
          </cell>
          <cell r="Y49">
            <v>45.249049999999997</v>
          </cell>
          <cell r="Z49">
            <v>46.997810000000001</v>
          </cell>
          <cell r="AA49">
            <v>47.886090000000003</v>
          </cell>
        </row>
        <row r="50">
          <cell r="J50" t="str">
            <v>solmw</v>
          </cell>
          <cell r="K50" t="str">
            <v>MW</v>
          </cell>
          <cell r="L50">
            <v>0</v>
          </cell>
          <cell r="M50">
            <v>0</v>
          </cell>
          <cell r="N50">
            <v>0.02</v>
          </cell>
          <cell r="S50">
            <v>5.8000000000000003E-2</v>
          </cell>
          <cell r="T50">
            <v>6.6000000000000003E-2</v>
          </cell>
          <cell r="U50">
            <v>8.1000000000000003E-2</v>
          </cell>
          <cell r="V50">
            <v>8.5999999999999993E-2</v>
          </cell>
          <cell r="W50">
            <v>9.8000000000000004E-2</v>
          </cell>
          <cell r="X50">
            <v>0.09</v>
          </cell>
          <cell r="Y50">
            <v>0.49</v>
          </cell>
          <cell r="Z50">
            <v>0.51</v>
          </cell>
          <cell r="AA50">
            <v>0.54</v>
          </cell>
          <cell r="AB50">
            <v>11.54</v>
          </cell>
        </row>
        <row r="51">
          <cell r="J51" t="str">
            <v>tutele</v>
          </cell>
          <cell r="K51" t="str">
            <v>heures</v>
          </cell>
          <cell r="L51">
            <v>2747.9452099999999</v>
          </cell>
          <cell r="M51">
            <v>3092.6829299999999</v>
          </cell>
          <cell r="N51">
            <v>4212.4293799999996</v>
          </cell>
          <cell r="S51">
            <v>3983.5326399999999</v>
          </cell>
          <cell r="T51">
            <v>4282.7044599999999</v>
          </cell>
          <cell r="U51">
            <v>4086.92598</v>
          </cell>
          <cell r="V51">
            <v>2930.40859</v>
          </cell>
          <cell r="W51">
            <v>2816.1575800000001</v>
          </cell>
          <cell r="X51">
            <v>2958.1368900000002</v>
          </cell>
          <cell r="Y51">
            <v>2864.2442500000002</v>
          </cell>
          <cell r="Z51">
            <v>2878.8414499999999</v>
          </cell>
          <cell r="AA51">
            <v>2923.4987999999998</v>
          </cell>
        </row>
        <row r="52">
          <cell r="J52" t="str">
            <v>enrmw</v>
          </cell>
          <cell r="K52" t="str">
            <v>MW</v>
          </cell>
          <cell r="L52">
            <v>166</v>
          </cell>
          <cell r="M52">
            <v>175</v>
          </cell>
          <cell r="N52">
            <v>170.01999999999998</v>
          </cell>
          <cell r="S52">
            <v>170.05799999999999</v>
          </cell>
          <cell r="T52">
            <v>170.06600000000003</v>
          </cell>
          <cell r="U52">
            <v>173.02099999999996</v>
          </cell>
          <cell r="V52">
            <v>332.12599999999998</v>
          </cell>
          <cell r="W52">
            <v>332.09799999999996</v>
          </cell>
          <cell r="X52">
            <v>332.09000000000003</v>
          </cell>
          <cell r="Y52">
            <v>332.78</v>
          </cell>
          <cell r="Z52">
            <v>334.79999999999995</v>
          </cell>
          <cell r="AA52">
            <v>334.83000000000004</v>
          </cell>
          <cell r="AB52">
            <v>345.83000000000004</v>
          </cell>
        </row>
        <row r="53">
          <cell r="J53" t="str">
            <v>enomw</v>
          </cell>
          <cell r="K53" t="str">
            <v>MW</v>
          </cell>
          <cell r="L53">
            <v>0</v>
          </cell>
          <cell r="M53">
            <v>0</v>
          </cell>
          <cell r="N53">
            <v>0</v>
          </cell>
          <cell r="S53">
            <v>0</v>
          </cell>
          <cell r="T53">
            <v>3.091971123581061E-14</v>
          </cell>
          <cell r="U53">
            <v>0</v>
          </cell>
          <cell r="V53">
            <v>0</v>
          </cell>
          <cell r="W53">
            <v>0</v>
          </cell>
          <cell r="X53">
            <v>3.1835645231126364E-14</v>
          </cell>
          <cell r="Y53">
            <v>0</v>
          </cell>
          <cell r="Z53">
            <v>0</v>
          </cell>
          <cell r="AA53">
            <v>2.042810365310288E-14</v>
          </cell>
          <cell r="AB53">
            <v>2.1316282072803006E-14</v>
          </cell>
        </row>
        <row r="54">
          <cell r="J54" t="str">
            <v>enrpd</v>
          </cell>
          <cell r="K54" t="str">
            <v>GWh</v>
          </cell>
          <cell r="L54">
            <v>705</v>
          </cell>
          <cell r="M54">
            <v>803</v>
          </cell>
          <cell r="N54">
            <v>907</v>
          </cell>
          <cell r="S54">
            <v>920</v>
          </cell>
          <cell r="T54">
            <v>955</v>
          </cell>
          <cell r="U54">
            <v>931.20399999999995</v>
          </cell>
          <cell r="V54">
            <v>988.51800000000026</v>
          </cell>
          <cell r="W54">
            <v>988.5179999999998</v>
          </cell>
          <cell r="X54">
            <v>988.5179999999998</v>
          </cell>
          <cell r="Y54">
            <v>988.5179999999998</v>
          </cell>
          <cell r="Z54">
            <v>1087.1248499999999</v>
          </cell>
          <cell r="AA54">
            <v>1150.0693200000001</v>
          </cell>
        </row>
        <row r="55">
          <cell r="J55" t="str">
            <v>enopd</v>
          </cell>
          <cell r="K55" t="str">
            <v>GWh</v>
          </cell>
          <cell r="L55">
            <v>0</v>
          </cell>
          <cell r="M55">
            <v>0</v>
          </cell>
          <cell r="N55">
            <v>0</v>
          </cell>
          <cell r="S55">
            <v>0</v>
          </cell>
          <cell r="T55">
            <v>0</v>
          </cell>
          <cell r="U55">
            <v>0</v>
          </cell>
          <cell r="V55">
            <v>3.0020430585864233E-13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7.2830630415410269E-14</v>
          </cell>
        </row>
        <row r="56">
          <cell r="J56" t="str">
            <v>totie</v>
          </cell>
          <cell r="K56" t="str">
            <v>ktep</v>
          </cell>
          <cell r="L56">
            <v>104.75846</v>
          </cell>
          <cell r="M56">
            <v>165.40872999999999</v>
          </cell>
          <cell r="N56">
            <v>314.27325999999999</v>
          </cell>
          <cell r="S56">
            <v>355.94291000000004</v>
          </cell>
          <cell r="T56">
            <v>393.17916999999994</v>
          </cell>
          <cell r="U56">
            <v>390.09816000000001</v>
          </cell>
          <cell r="V56">
            <v>339.41611999999998</v>
          </cell>
          <cell r="W56">
            <v>334.65644999999995</v>
          </cell>
          <cell r="X56">
            <v>346.61880000000002</v>
          </cell>
          <cell r="Y56">
            <v>360.53153000000003</v>
          </cell>
          <cell r="Z56">
            <v>336.55894000000006</v>
          </cell>
          <cell r="AA56">
            <v>329.71560000000005</v>
          </cell>
        </row>
        <row r="57">
          <cell r="J57" t="str">
            <v/>
          </cell>
          <cell r="K57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Enerdata">
      <a:dk1>
        <a:sysClr val="windowText" lastClr="000000"/>
      </a:dk1>
      <a:lt1>
        <a:sysClr val="window" lastClr="FFFFFF"/>
      </a:lt1>
      <a:dk2>
        <a:srgbClr val="8F0F75"/>
      </a:dk2>
      <a:lt2>
        <a:srgbClr val="758F23"/>
      </a:lt2>
      <a:accent1>
        <a:srgbClr val="0A758F"/>
      </a:accent1>
      <a:accent2>
        <a:srgbClr val="EC6625"/>
      </a:accent2>
      <a:accent3>
        <a:srgbClr val="14A2D2"/>
      </a:accent3>
      <a:accent4>
        <a:srgbClr val="F39325"/>
      </a:accent4>
      <a:accent5>
        <a:srgbClr val="1E8F5D"/>
      </a:accent5>
      <a:accent6>
        <a:srgbClr val="FFDE12"/>
      </a:accent6>
      <a:hlink>
        <a:srgbClr val="EC6625"/>
      </a:hlink>
      <a:folHlink>
        <a:srgbClr val="F39325"/>
      </a:folHlink>
    </a:clrScheme>
    <a:fontScheme name="Enerdata_Verdana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nerdata">
    <a:dk1>
      <a:sysClr val="windowText" lastClr="000000"/>
    </a:dk1>
    <a:lt1>
      <a:sysClr val="window" lastClr="FFFFFF"/>
    </a:lt1>
    <a:dk2>
      <a:srgbClr val="8F0F75"/>
    </a:dk2>
    <a:lt2>
      <a:srgbClr val="758F23"/>
    </a:lt2>
    <a:accent1>
      <a:srgbClr val="0A758F"/>
    </a:accent1>
    <a:accent2>
      <a:srgbClr val="EC6625"/>
    </a:accent2>
    <a:accent3>
      <a:srgbClr val="14A2D2"/>
    </a:accent3>
    <a:accent4>
      <a:srgbClr val="F39325"/>
    </a:accent4>
    <a:accent5>
      <a:srgbClr val="1E8F5D"/>
    </a:accent5>
    <a:accent6>
      <a:srgbClr val="FFDE12"/>
    </a:accent6>
    <a:hlink>
      <a:srgbClr val="EC6625"/>
    </a:hlink>
    <a:folHlink>
      <a:srgbClr val="F39325"/>
    </a:folHlink>
  </a:clrScheme>
  <a:fontScheme name="Enerdata_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nerdata">
    <a:dk1>
      <a:sysClr val="windowText" lastClr="000000"/>
    </a:dk1>
    <a:lt1>
      <a:sysClr val="window" lastClr="FFFFFF"/>
    </a:lt1>
    <a:dk2>
      <a:srgbClr val="8F0F75"/>
    </a:dk2>
    <a:lt2>
      <a:srgbClr val="758F23"/>
    </a:lt2>
    <a:accent1>
      <a:srgbClr val="0A758F"/>
    </a:accent1>
    <a:accent2>
      <a:srgbClr val="EC6625"/>
    </a:accent2>
    <a:accent3>
      <a:srgbClr val="14A2D2"/>
    </a:accent3>
    <a:accent4>
      <a:srgbClr val="F39325"/>
    </a:accent4>
    <a:accent5>
      <a:srgbClr val="1E8F5D"/>
    </a:accent5>
    <a:accent6>
      <a:srgbClr val="FFDE12"/>
    </a:accent6>
    <a:hlink>
      <a:srgbClr val="EC6625"/>
    </a:hlink>
    <a:folHlink>
      <a:srgbClr val="F39325"/>
    </a:folHlink>
  </a:clrScheme>
  <a:fontScheme name="Enerdata_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Enerdata">
    <a:dk1>
      <a:sysClr val="windowText" lastClr="000000"/>
    </a:dk1>
    <a:lt1>
      <a:sysClr val="window" lastClr="FFFFFF"/>
    </a:lt1>
    <a:dk2>
      <a:srgbClr val="8F0F75"/>
    </a:dk2>
    <a:lt2>
      <a:srgbClr val="758F23"/>
    </a:lt2>
    <a:accent1>
      <a:srgbClr val="0A758F"/>
    </a:accent1>
    <a:accent2>
      <a:srgbClr val="EC6625"/>
    </a:accent2>
    <a:accent3>
      <a:srgbClr val="14A2D2"/>
    </a:accent3>
    <a:accent4>
      <a:srgbClr val="F39325"/>
    </a:accent4>
    <a:accent5>
      <a:srgbClr val="1E8F5D"/>
    </a:accent5>
    <a:accent6>
      <a:srgbClr val="FFDE12"/>
    </a:accent6>
    <a:hlink>
      <a:srgbClr val="EC6625"/>
    </a:hlink>
    <a:folHlink>
      <a:srgbClr val="F39325"/>
    </a:folHlink>
  </a:clrScheme>
  <a:fontScheme name="Enerdata_Verdana">
    <a:majorFont>
      <a:latin typeface="Verdana"/>
      <a:ea typeface=""/>
      <a:cs typeface=""/>
    </a:majorFont>
    <a:minorFont>
      <a:latin typeface="Verdana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nerdata.ne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nerdata.ne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nerdata.net/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nerdata.net/research/power-plant-database.html" TargetMode="External"/><Relationship Id="rId21" Type="http://schemas.openxmlformats.org/officeDocument/2006/relationships/hyperlink" Target="https://www.enerdata.net/research/schedule-demo.html?service=gls" TargetMode="External"/><Relationship Id="rId42" Type="http://schemas.openxmlformats.org/officeDocument/2006/relationships/hyperlink" Target="mailto:research@enerdata.net?subject=EnerDemand" TargetMode="External"/><Relationship Id="rId47" Type="http://schemas.openxmlformats.org/officeDocument/2006/relationships/hyperlink" Target="mailto:research@enerdata.net?subject=Odyssee" TargetMode="External"/><Relationship Id="rId63" Type="http://schemas.openxmlformats.org/officeDocument/2006/relationships/hyperlink" Target="https://www.enerdata.net/research/schedule-demo.html" TargetMode="External"/><Relationship Id="rId68" Type="http://schemas.openxmlformats.org/officeDocument/2006/relationships/hyperlink" Target="https://www.enerdata.net/research/schedule-demo.html?service=ghcd" TargetMode="External"/><Relationship Id="rId2" Type="http://schemas.openxmlformats.org/officeDocument/2006/relationships/hyperlink" Target="mailto:research@enerdata.net?subject=Global%20Energy%20Research" TargetMode="External"/><Relationship Id="rId16" Type="http://schemas.openxmlformats.org/officeDocument/2006/relationships/hyperlink" Target="mailto:research@enerdata.net" TargetMode="External"/><Relationship Id="rId29" Type="http://schemas.openxmlformats.org/officeDocument/2006/relationships/hyperlink" Target="https://www.enerdata.net/research/schedule-demo.html?service=lng" TargetMode="External"/><Relationship Id="rId11" Type="http://schemas.openxmlformats.org/officeDocument/2006/relationships/hyperlink" Target="mailto:research@enerdata.net?subject=EnerMonthly" TargetMode="External"/><Relationship Id="rId24" Type="http://schemas.openxmlformats.org/officeDocument/2006/relationships/hyperlink" Target="https://www.enerdata.net/energy-research-information-database-free-trial.html?service=pwp" TargetMode="External"/><Relationship Id="rId32" Type="http://schemas.openxmlformats.org/officeDocument/2006/relationships/hyperlink" Target="https://www.enerdata.net/research/schedule-demo.html?service=ref" TargetMode="External"/><Relationship Id="rId37" Type="http://schemas.openxmlformats.org/officeDocument/2006/relationships/hyperlink" Target="https://www.enerdata.net/research/h2-database.html" TargetMode="External"/><Relationship Id="rId40" Type="http://schemas.openxmlformats.org/officeDocument/2006/relationships/hyperlink" Target="https://www.enerdata.net/energy-research-information-database-free-trial.html?service=gem" TargetMode="External"/><Relationship Id="rId45" Type="http://schemas.openxmlformats.org/officeDocument/2006/relationships/hyperlink" Target="https://www.enerdata.net/research/world-energy-efficiency-demand-database.html" TargetMode="External"/><Relationship Id="rId53" Type="http://schemas.openxmlformats.org/officeDocument/2006/relationships/hyperlink" Target="mailto:research@enerdata.net?subject=EnerMonthly" TargetMode="External"/><Relationship Id="rId58" Type="http://schemas.openxmlformats.org/officeDocument/2006/relationships/hyperlink" Target="https://www.enerdata.net/energy-research-information-database-free-trial.html?service=med" TargetMode="External"/><Relationship Id="rId66" Type="http://schemas.openxmlformats.org/officeDocument/2006/relationships/hyperlink" Target="https://www.enerdata.net/research/schedule-demo.html?service=ghcd" TargetMode="External"/><Relationship Id="rId74" Type="http://schemas.openxmlformats.org/officeDocument/2006/relationships/printerSettings" Target="../printerSettings/printerSettings5.bin"/><Relationship Id="rId5" Type="http://schemas.openxmlformats.org/officeDocument/2006/relationships/hyperlink" Target="mailto:research@enerdata.net?subject=Key%20Energy%20Intelligence" TargetMode="External"/><Relationship Id="rId61" Type="http://schemas.openxmlformats.org/officeDocument/2006/relationships/hyperlink" Target="https://www.enerdata.net/research/schedule-demo.html?service=gem" TargetMode="External"/><Relationship Id="rId19" Type="http://schemas.openxmlformats.org/officeDocument/2006/relationships/hyperlink" Target="https://www.enerdata.net/research/energy-market-data-co2-emissions-database.html" TargetMode="External"/><Relationship Id="rId14" Type="http://schemas.openxmlformats.org/officeDocument/2006/relationships/hyperlink" Target="mailto:research@enerdata.net?subject=World%20LNG%20Database" TargetMode="External"/><Relationship Id="rId22" Type="http://schemas.openxmlformats.org/officeDocument/2006/relationships/hyperlink" Target="https://www.enerdata.net/energy-research-information-database-free-trial.html?service=gem" TargetMode="External"/><Relationship Id="rId27" Type="http://schemas.openxmlformats.org/officeDocument/2006/relationships/hyperlink" Target="https://www.enerdata.net/research/lng-trade-terminals-and-plants-database.html" TargetMode="External"/><Relationship Id="rId30" Type="http://schemas.openxmlformats.org/officeDocument/2006/relationships/hyperlink" Target="https://www.enerdata.net/research/world-refineries-database.html" TargetMode="External"/><Relationship Id="rId35" Type="http://schemas.openxmlformats.org/officeDocument/2006/relationships/hyperlink" Target="https://www.enerdata.net/energy-research-information-database-free-trial.html?service=fcst" TargetMode="External"/><Relationship Id="rId43" Type="http://schemas.openxmlformats.org/officeDocument/2006/relationships/hyperlink" Target="https://www.enerdata.net/energy-research-information-database-free-trial.html?service=edd" TargetMode="External"/><Relationship Id="rId48" Type="http://schemas.openxmlformats.org/officeDocument/2006/relationships/hyperlink" Target="https://www.enerdata.net/energy-research-information-database-free-trial.html?service=edd" TargetMode="External"/><Relationship Id="rId56" Type="http://schemas.openxmlformats.org/officeDocument/2006/relationships/hyperlink" Target="mailto:research@enerdata.net?subject=Power%20Price%20Projections" TargetMode="External"/><Relationship Id="rId64" Type="http://schemas.openxmlformats.org/officeDocument/2006/relationships/hyperlink" Target="https://www.enerdata.net/research/hydrogen-derivates-projects.html" TargetMode="External"/><Relationship Id="rId69" Type="http://schemas.openxmlformats.org/officeDocument/2006/relationships/hyperlink" Target="https://www.enerdata.net/energy-research-information-database-free-trial.html?service=hdpd" TargetMode="External"/><Relationship Id="rId8" Type="http://schemas.openxmlformats.org/officeDocument/2006/relationships/hyperlink" Target="mailto:research@enerdata.net" TargetMode="External"/><Relationship Id="rId51" Type="http://schemas.openxmlformats.org/officeDocument/2006/relationships/hyperlink" Target="https://www.enerdata.net/energy-research-information-database-free-trial.html?service=news" TargetMode="External"/><Relationship Id="rId72" Type="http://schemas.openxmlformats.org/officeDocument/2006/relationships/hyperlink" Target="mailto:research@enerdata.net?subject=Global%20Hydrogen%20Companies%20Database" TargetMode="External"/><Relationship Id="rId3" Type="http://schemas.openxmlformats.org/officeDocument/2006/relationships/hyperlink" Target="https://www.enerdata.net/research/global-energy-research.html" TargetMode="External"/><Relationship Id="rId12" Type="http://schemas.openxmlformats.org/officeDocument/2006/relationships/hyperlink" Target="mailto:research@enerdata.net?subject=EnerMonthly" TargetMode="External"/><Relationship Id="rId17" Type="http://schemas.openxmlformats.org/officeDocument/2006/relationships/hyperlink" Target="mailto:research@enerdata.net?subject=EnerFuture" TargetMode="External"/><Relationship Id="rId25" Type="http://schemas.openxmlformats.org/officeDocument/2006/relationships/hyperlink" Target="https://www.enerdata.net/research/schedule-demo.html?service=pwp" TargetMode="External"/><Relationship Id="rId33" Type="http://schemas.openxmlformats.org/officeDocument/2006/relationships/hyperlink" Target="https://www.enerdata.net/research/forecast-enerfuture.html" TargetMode="External"/><Relationship Id="rId38" Type="http://schemas.openxmlformats.org/officeDocument/2006/relationships/hyperlink" Target="https://www.enerdata.net/energy-research-information-database-free-trial.html?service=ghcd" TargetMode="External"/><Relationship Id="rId46" Type="http://schemas.openxmlformats.org/officeDocument/2006/relationships/hyperlink" Target="https://www.enerdata.net/research/world-energy-efficiency-demand-database.html" TargetMode="External"/><Relationship Id="rId59" Type="http://schemas.openxmlformats.org/officeDocument/2006/relationships/hyperlink" Target="mailto:research@enerdata.net?subject=I%20would%20like%20a%20free%20trial%20of%20EnerFuture%20Granular%20Energy%20Demand%20Forecast" TargetMode="External"/><Relationship Id="rId67" Type="http://schemas.openxmlformats.org/officeDocument/2006/relationships/hyperlink" Target="https://www.enerdata.net/energy-research-information-database-free-trial.html?service=ghcd" TargetMode="External"/><Relationship Id="rId20" Type="http://schemas.openxmlformats.org/officeDocument/2006/relationships/hyperlink" Target="https://www.enerdata.net/energy-research-information-database-free-trial.html?service=gls" TargetMode="External"/><Relationship Id="rId41" Type="http://schemas.openxmlformats.org/officeDocument/2006/relationships/hyperlink" Target="https://www.enerdata.net/research/country-energy-demand-forecast.html" TargetMode="External"/><Relationship Id="rId54" Type="http://schemas.openxmlformats.org/officeDocument/2006/relationships/hyperlink" Target="https://www.enerdata.net/research/schedule-demo.html?service=gem" TargetMode="External"/><Relationship Id="rId62" Type="http://schemas.openxmlformats.org/officeDocument/2006/relationships/hyperlink" Target="mailto:research@enerdata.net?subject=Granular%20Energy%20Demand%20Forecast" TargetMode="External"/><Relationship Id="rId70" Type="http://schemas.openxmlformats.org/officeDocument/2006/relationships/hyperlink" Target="https://www.enerdata.net/research/schedule-demo.html?service=hdpd" TargetMode="External"/><Relationship Id="rId75" Type="http://schemas.openxmlformats.org/officeDocument/2006/relationships/drawing" Target="../drawings/drawing4.xml"/><Relationship Id="rId1" Type="http://schemas.openxmlformats.org/officeDocument/2006/relationships/hyperlink" Target="https://www.enerdata.net/energy-research-information-database-free-trial.html?service=pro" TargetMode="External"/><Relationship Id="rId6" Type="http://schemas.openxmlformats.org/officeDocument/2006/relationships/hyperlink" Target="mailto:research@enerdata.net?subject=Key%20Energy%20Intelligence" TargetMode="External"/><Relationship Id="rId15" Type="http://schemas.openxmlformats.org/officeDocument/2006/relationships/hyperlink" Target="mailto:research@enerdata.net?subject=World%20Refinery%20Database" TargetMode="External"/><Relationship Id="rId23" Type="http://schemas.openxmlformats.org/officeDocument/2006/relationships/hyperlink" Target="https://www.enerdata.net/research/schedule-demo.html?service=gem" TargetMode="External"/><Relationship Id="rId28" Type="http://schemas.openxmlformats.org/officeDocument/2006/relationships/hyperlink" Target="https://www.enerdata.net/energy-research-information-database-free-trial.html?service=lng" TargetMode="External"/><Relationship Id="rId36" Type="http://schemas.openxmlformats.org/officeDocument/2006/relationships/hyperlink" Target="https://www.enerdata.net/research/monthly-oil-gas-coal-electricity-data.html" TargetMode="External"/><Relationship Id="rId49" Type="http://schemas.openxmlformats.org/officeDocument/2006/relationships/hyperlink" Target="https://www.enerdata.net/research/schedule-demo.html" TargetMode="External"/><Relationship Id="rId57" Type="http://schemas.openxmlformats.org/officeDocument/2006/relationships/hyperlink" Target="https://www.enerdata.net/research/schedule-demo.html" TargetMode="External"/><Relationship Id="rId10" Type="http://schemas.openxmlformats.org/officeDocument/2006/relationships/hyperlink" Target="mailto:research@enerdata.net?subject=Global%20Hydrogen%20Companies%20Database" TargetMode="External"/><Relationship Id="rId31" Type="http://schemas.openxmlformats.org/officeDocument/2006/relationships/hyperlink" Target="https://www.enerdata.net/energy-research-information-database-free-trial.html?service=ref" TargetMode="External"/><Relationship Id="rId44" Type="http://schemas.openxmlformats.org/officeDocument/2006/relationships/hyperlink" Target="https://www.enerdata.net/research/schedule-demo.html?service=edd" TargetMode="External"/><Relationship Id="rId52" Type="http://schemas.openxmlformats.org/officeDocument/2006/relationships/hyperlink" Target="mailto:research@enerdata.net?subject=Country%20Energy%20Demand%20Forecast" TargetMode="External"/><Relationship Id="rId60" Type="http://schemas.openxmlformats.org/officeDocument/2006/relationships/hyperlink" Target="mailto:research@enerdata.net?subject=EnerMonthly" TargetMode="External"/><Relationship Id="rId65" Type="http://schemas.openxmlformats.org/officeDocument/2006/relationships/hyperlink" Target="https://www.enerdata.net/energy-research-information-database-free-trial.html?service=ghcd" TargetMode="External"/><Relationship Id="rId73" Type="http://schemas.openxmlformats.org/officeDocument/2006/relationships/hyperlink" Target="mailto:research@enerdata.net?subject=H2%20and%20Derivatives%20Projects%20Database" TargetMode="External"/><Relationship Id="rId4" Type="http://schemas.openxmlformats.org/officeDocument/2006/relationships/hyperlink" Target="https://www.enerdata.net/research/schedule-demo.html?service=pro" TargetMode="External"/><Relationship Id="rId9" Type="http://schemas.openxmlformats.org/officeDocument/2006/relationships/hyperlink" Target="mailto:research@enerdata.net?subject=Global%20Energy%20&amp;%20CO2%20Data" TargetMode="External"/><Relationship Id="rId13" Type="http://schemas.openxmlformats.org/officeDocument/2006/relationships/hyperlink" Target="mailto:research@enerdata.net?subject=Power%20Plant%20Tracker" TargetMode="External"/><Relationship Id="rId18" Type="http://schemas.openxmlformats.org/officeDocument/2006/relationships/hyperlink" Target="https://www.enerdata.net/estore/energy-intelligence.html" TargetMode="External"/><Relationship Id="rId39" Type="http://schemas.openxmlformats.org/officeDocument/2006/relationships/hyperlink" Target="https://www.enerdata.net/research/schedule-demo.html?service=ghcd" TargetMode="External"/><Relationship Id="rId34" Type="http://schemas.openxmlformats.org/officeDocument/2006/relationships/hyperlink" Target="https://www.enerdata.net/research/schedule-demo.html?service=fcst" TargetMode="External"/><Relationship Id="rId50" Type="http://schemas.openxmlformats.org/officeDocument/2006/relationships/hyperlink" Target="mailto:research@enerdata.net" TargetMode="External"/><Relationship Id="rId55" Type="http://schemas.openxmlformats.org/officeDocument/2006/relationships/hyperlink" Target="https://www.enerdata.net/research/global-forecasting-electricity-prices-tool.html" TargetMode="External"/><Relationship Id="rId7" Type="http://schemas.openxmlformats.org/officeDocument/2006/relationships/hyperlink" Target="mailto:research@enerdata.net" TargetMode="External"/><Relationship Id="rId71" Type="http://schemas.openxmlformats.org/officeDocument/2006/relationships/hyperlink" Target="mailto:research@enerdata.net?subject=Global%20Hydrogen%20Companies%20Databa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889CF-C2BB-44C8-97F6-1E5A84BF48B9}">
  <sheetPr codeName="Feuil1"/>
  <dimension ref="A1:CZ98"/>
  <sheetViews>
    <sheetView workbookViewId="0"/>
  </sheetViews>
  <sheetFormatPr baseColWidth="10" defaultColWidth="11.42578125" defaultRowHeight="13.5" customHeight="1" x14ac:dyDescent="0.15"/>
  <cols>
    <col min="12" max="12" width="17.85546875" customWidth="1"/>
  </cols>
  <sheetData>
    <row r="1" spans="1:104" ht="13.5" customHeight="1" x14ac:dyDescent="0.15">
      <c r="A1" t="s">
        <v>0</v>
      </c>
      <c r="B1" t="s">
        <v>1</v>
      </c>
      <c r="C1" t="s">
        <v>2</v>
      </c>
      <c r="D1" t="s">
        <v>3</v>
      </c>
    </row>
    <row r="2" spans="1:104" ht="13.5" customHeight="1" x14ac:dyDescent="0.15">
      <c r="A2" t="s">
        <v>99</v>
      </c>
      <c r="B2">
        <v>2023</v>
      </c>
      <c r="C2" s="50">
        <v>1044</v>
      </c>
      <c r="D2" s="37" t="s">
        <v>100</v>
      </c>
    </row>
    <row r="5" spans="1:104" ht="10.5" x14ac:dyDescent="0.15"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  <c r="H5" t="s">
        <v>10</v>
      </c>
      <c r="K5" t="s">
        <v>4</v>
      </c>
      <c r="L5">
        <v>1990</v>
      </c>
      <c r="M5">
        <v>2000</v>
      </c>
      <c r="N5">
        <v>2010</v>
      </c>
      <c r="O5">
        <v>2011</v>
      </c>
      <c r="P5">
        <v>2012</v>
      </c>
      <c r="Q5">
        <v>2013</v>
      </c>
      <c r="R5">
        <v>2014</v>
      </c>
      <c r="S5">
        <v>2015</v>
      </c>
      <c r="T5">
        <v>2016</v>
      </c>
      <c r="U5">
        <v>2017</v>
      </c>
      <c r="V5">
        <v>2018</v>
      </c>
      <c r="W5">
        <v>2019</v>
      </c>
      <c r="X5">
        <v>2020</v>
      </c>
      <c r="Y5">
        <v>2021</v>
      </c>
      <c r="Z5">
        <v>2022</v>
      </c>
      <c r="AA5">
        <v>2023</v>
      </c>
      <c r="AB5">
        <v>2024</v>
      </c>
      <c r="AC5">
        <v>2025</v>
      </c>
      <c r="AD5">
        <v>2026</v>
      </c>
      <c r="AE5">
        <v>2027</v>
      </c>
      <c r="AF5">
        <v>2028</v>
      </c>
      <c r="AG5">
        <v>2029</v>
      </c>
      <c r="AH5">
        <v>2030</v>
      </c>
      <c r="AI5">
        <v>2031</v>
      </c>
      <c r="AJ5">
        <v>2032</v>
      </c>
      <c r="AK5">
        <v>2033</v>
      </c>
      <c r="AL5">
        <v>2034</v>
      </c>
      <c r="AM5">
        <v>2035</v>
      </c>
      <c r="AN5">
        <v>2036</v>
      </c>
      <c r="AO5">
        <v>2037</v>
      </c>
      <c r="AP5">
        <v>2038</v>
      </c>
      <c r="AQ5">
        <v>2039</v>
      </c>
      <c r="AR5">
        <v>2040</v>
      </c>
      <c r="AS5">
        <v>2041</v>
      </c>
      <c r="AT5">
        <v>2042</v>
      </c>
      <c r="AU5">
        <v>2043</v>
      </c>
      <c r="AV5">
        <v>2044</v>
      </c>
      <c r="AW5">
        <v>2045</v>
      </c>
      <c r="AX5">
        <v>2046</v>
      </c>
      <c r="AY5">
        <v>2047</v>
      </c>
      <c r="AZ5">
        <v>2048</v>
      </c>
      <c r="BA5">
        <v>2049</v>
      </c>
      <c r="BB5">
        <v>2050</v>
      </c>
      <c r="BC5">
        <v>2051</v>
      </c>
      <c r="BD5">
        <v>2052</v>
      </c>
      <c r="BE5">
        <v>2053</v>
      </c>
      <c r="BF5">
        <v>2054</v>
      </c>
      <c r="BG5">
        <v>2055</v>
      </c>
      <c r="BH5">
        <v>2056</v>
      </c>
      <c r="BI5">
        <v>2057</v>
      </c>
      <c r="BJ5">
        <v>2058</v>
      </c>
      <c r="BK5">
        <v>2059</v>
      </c>
      <c r="BL5">
        <v>2060</v>
      </c>
      <c r="BM5">
        <v>2061</v>
      </c>
      <c r="BN5">
        <v>2062</v>
      </c>
      <c r="BO5">
        <v>2063</v>
      </c>
      <c r="BP5">
        <v>2064</v>
      </c>
      <c r="BQ5">
        <v>2065</v>
      </c>
      <c r="BR5">
        <v>2066</v>
      </c>
      <c r="BS5">
        <v>2067</v>
      </c>
      <c r="BT5">
        <v>2068</v>
      </c>
      <c r="BU5">
        <v>2069</v>
      </c>
      <c r="BV5">
        <v>2070</v>
      </c>
      <c r="BW5">
        <v>2071</v>
      </c>
      <c r="BX5">
        <v>2072</v>
      </c>
      <c r="BY5">
        <v>2073</v>
      </c>
      <c r="BZ5">
        <v>2074</v>
      </c>
      <c r="CA5">
        <v>2075</v>
      </c>
      <c r="CB5">
        <v>2076</v>
      </c>
      <c r="CC5">
        <v>2077</v>
      </c>
      <c r="CD5">
        <v>2078</v>
      </c>
      <c r="CE5">
        <v>2079</v>
      </c>
      <c r="CF5">
        <v>2080</v>
      </c>
      <c r="CG5">
        <v>2081</v>
      </c>
      <c r="CH5">
        <v>2082</v>
      </c>
      <c r="CI5">
        <v>2083</v>
      </c>
      <c r="CJ5">
        <v>2084</v>
      </c>
      <c r="CK5">
        <v>2085</v>
      </c>
      <c r="CL5">
        <v>2086</v>
      </c>
      <c r="CM5">
        <v>2087</v>
      </c>
      <c r="CN5">
        <v>2088</v>
      </c>
      <c r="CO5">
        <v>2089</v>
      </c>
      <c r="CP5">
        <v>2090</v>
      </c>
      <c r="CQ5">
        <v>2091</v>
      </c>
      <c r="CR5">
        <v>2092</v>
      </c>
      <c r="CS5">
        <v>2093</v>
      </c>
      <c r="CT5">
        <v>2094</v>
      </c>
      <c r="CU5">
        <v>2095</v>
      </c>
      <c r="CV5">
        <v>2096</v>
      </c>
      <c r="CW5">
        <v>2097</v>
      </c>
      <c r="CX5">
        <v>2098</v>
      </c>
      <c r="CY5">
        <v>2099</v>
      </c>
      <c r="CZ5">
        <v>2100</v>
      </c>
    </row>
    <row r="6" spans="1:104" ht="10.5" x14ac:dyDescent="0.15">
      <c r="A6" t="s">
        <v>28</v>
      </c>
      <c r="B6" t="s">
        <v>101</v>
      </c>
      <c r="C6">
        <v>0</v>
      </c>
      <c r="D6">
        <v>0</v>
      </c>
      <c r="E6">
        <v>0</v>
      </c>
      <c r="F6">
        <v>0</v>
      </c>
      <c r="G6">
        <v>1000</v>
      </c>
      <c r="H6">
        <v>0.18749062546872655</v>
      </c>
    </row>
    <row r="7" spans="1:104" ht="10.5" x14ac:dyDescent="0.15">
      <c r="A7" t="s">
        <v>29</v>
      </c>
      <c r="B7" t="s">
        <v>101</v>
      </c>
      <c r="C7">
        <v>3766.37</v>
      </c>
      <c r="D7">
        <v>0.69123814173211007</v>
      </c>
      <c r="E7">
        <v>200</v>
      </c>
      <c r="F7">
        <v>0.19157088122605365</v>
      </c>
      <c r="G7">
        <v>1545</v>
      </c>
      <c r="H7">
        <v>0.28967301634918252</v>
      </c>
    </row>
    <row r="8" spans="1:104" ht="10.5" x14ac:dyDescent="0.15">
      <c r="A8" t="s">
        <v>30</v>
      </c>
      <c r="B8" t="s">
        <v>101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</row>
    <row r="9" spans="1:104" ht="10.5" x14ac:dyDescent="0.15">
      <c r="A9" t="s">
        <v>31</v>
      </c>
      <c r="B9" t="s">
        <v>101</v>
      </c>
      <c r="C9">
        <v>2673</v>
      </c>
      <c r="D9">
        <v>0.49057303261493967</v>
      </c>
      <c r="E9">
        <v>200</v>
      </c>
      <c r="F9">
        <v>0.19157088122605365</v>
      </c>
      <c r="G9">
        <v>1545</v>
      </c>
      <c r="H9">
        <v>0.28967301634918252</v>
      </c>
    </row>
    <row r="10" spans="1:104" ht="10.5" x14ac:dyDescent="0.15">
      <c r="A10" t="s">
        <v>32</v>
      </c>
      <c r="B10" t="s">
        <v>101</v>
      </c>
      <c r="C10">
        <v>1085</v>
      </c>
      <c r="D10">
        <v>0.19912897133827517</v>
      </c>
      <c r="E10">
        <v>0</v>
      </c>
      <c r="F10">
        <v>0</v>
      </c>
      <c r="G10">
        <v>0</v>
      </c>
      <c r="H10">
        <v>0</v>
      </c>
    </row>
    <row r="11" spans="1:104" ht="10.5" x14ac:dyDescent="0.15">
      <c r="A11" t="s">
        <v>33</v>
      </c>
      <c r="B11" t="s">
        <v>101</v>
      </c>
      <c r="C11">
        <v>8.3699999999999992</v>
      </c>
      <c r="D11">
        <v>1.5361377788952655E-3</v>
      </c>
      <c r="E11">
        <v>0</v>
      </c>
      <c r="F11">
        <v>0</v>
      </c>
      <c r="G11">
        <v>0</v>
      </c>
      <c r="H11">
        <v>0</v>
      </c>
    </row>
    <row r="12" spans="1:104" ht="10.5" x14ac:dyDescent="0.15">
      <c r="A12" t="s">
        <v>35</v>
      </c>
      <c r="B12" t="s">
        <v>101</v>
      </c>
      <c r="C12">
        <v>1682.36</v>
      </c>
      <c r="D12">
        <v>0.30876185826788993</v>
      </c>
      <c r="E12">
        <v>844</v>
      </c>
      <c r="F12">
        <v>0.80842911877394641</v>
      </c>
      <c r="G12">
        <v>2788.6</v>
      </c>
      <c r="H12">
        <v>0.52283635818209084</v>
      </c>
    </row>
    <row r="13" spans="1:104" ht="10.5" x14ac:dyDescent="0.15">
      <c r="A13" t="s">
        <v>36</v>
      </c>
      <c r="B13" t="s">
        <v>101</v>
      </c>
      <c r="C13">
        <v>1584</v>
      </c>
      <c r="D13">
        <v>0.29070994525329757</v>
      </c>
      <c r="E13">
        <v>310</v>
      </c>
      <c r="F13">
        <v>0.29693486590038315</v>
      </c>
      <c r="G13">
        <v>947</v>
      </c>
      <c r="H13">
        <v>0.17755362231888405</v>
      </c>
    </row>
    <row r="14" spans="1:104" ht="10.5" x14ac:dyDescent="0.15">
      <c r="A14" t="s">
        <v>37</v>
      </c>
      <c r="B14" t="s">
        <v>101</v>
      </c>
      <c r="C14">
        <v>0.02</v>
      </c>
      <c r="D14">
        <v>3.6705801168345654E-6</v>
      </c>
      <c r="E14">
        <v>0</v>
      </c>
      <c r="F14">
        <v>0</v>
      </c>
      <c r="G14">
        <v>1365</v>
      </c>
      <c r="H14">
        <v>0.25592470376481175</v>
      </c>
    </row>
    <row r="15" spans="1:104" ht="10.5" x14ac:dyDescent="0.15">
      <c r="A15" t="s">
        <v>38</v>
      </c>
      <c r="B15" t="s">
        <v>101</v>
      </c>
      <c r="C15">
        <v>98.34</v>
      </c>
      <c r="D15">
        <v>1.8048242434475559E-2</v>
      </c>
      <c r="E15">
        <v>514</v>
      </c>
      <c r="F15">
        <v>0.49233716475095785</v>
      </c>
      <c r="G15">
        <v>377</v>
      </c>
      <c r="H15">
        <v>7.0683965801709908E-2</v>
      </c>
    </row>
    <row r="16" spans="1:104" ht="10.5" x14ac:dyDescent="0.15">
      <c r="A16" t="s">
        <v>39</v>
      </c>
      <c r="B16" t="s">
        <v>101</v>
      </c>
      <c r="C16">
        <v>0</v>
      </c>
      <c r="D16">
        <v>0</v>
      </c>
      <c r="E16">
        <v>20</v>
      </c>
      <c r="F16">
        <v>1.9157088122605363E-2</v>
      </c>
      <c r="G16">
        <v>99.599999999999909</v>
      </c>
      <c r="H16">
        <v>1.8674066296685148E-2</v>
      </c>
    </row>
    <row r="17" spans="1:27" ht="10.5" x14ac:dyDescent="0.15">
      <c r="A17" t="s">
        <v>40</v>
      </c>
      <c r="B17" t="s">
        <v>101</v>
      </c>
      <c r="C17">
        <v>5448.73</v>
      </c>
      <c r="D17">
        <v>1</v>
      </c>
      <c r="E17">
        <v>1044</v>
      </c>
      <c r="F17">
        <v>1</v>
      </c>
      <c r="G17">
        <v>5333.6</v>
      </c>
      <c r="H17">
        <v>1</v>
      </c>
    </row>
    <row r="18" spans="1:27" ht="10.5" x14ac:dyDescent="0.15">
      <c r="A18" t="s">
        <v>41</v>
      </c>
      <c r="B18" t="s">
        <v>101</v>
      </c>
      <c r="C18">
        <v>1690.7299999999998</v>
      </c>
      <c r="D18">
        <v>0.31029799604678521</v>
      </c>
      <c r="E18">
        <v>844</v>
      </c>
      <c r="F18">
        <v>0.80842911877394641</v>
      </c>
      <c r="G18">
        <v>3788.6</v>
      </c>
      <c r="H18">
        <v>0.71032698365081737</v>
      </c>
    </row>
    <row r="19" spans="1:27" ht="10.5" x14ac:dyDescent="0.15">
      <c r="J19" t="s">
        <v>102</v>
      </c>
      <c r="K19" t="s">
        <v>57</v>
      </c>
      <c r="L19">
        <v>18.566490000000002</v>
      </c>
      <c r="M19">
        <v>28.528179999999999</v>
      </c>
      <c r="N19">
        <v>29.08653</v>
      </c>
      <c r="S19">
        <v>38.674999999999997</v>
      </c>
      <c r="T19">
        <v>53.881309999999999</v>
      </c>
      <c r="U19">
        <v>55.391219999999997</v>
      </c>
      <c r="V19">
        <v>66.949399999999997</v>
      </c>
      <c r="W19">
        <v>50.578530000000001</v>
      </c>
      <c r="X19">
        <v>42.910769999999999</v>
      </c>
      <c r="Y19">
        <v>47.64405</v>
      </c>
      <c r="Z19">
        <v>46.593629999999997</v>
      </c>
      <c r="AA19">
        <v>46.69341</v>
      </c>
    </row>
    <row r="20" spans="1:27" ht="10.5" x14ac:dyDescent="0.15">
      <c r="J20" t="s">
        <v>103</v>
      </c>
      <c r="K20" t="s">
        <v>104</v>
      </c>
    </row>
    <row r="21" spans="1:27" ht="10.5" x14ac:dyDescent="0.15">
      <c r="J21" t="s">
        <v>105</v>
      </c>
      <c r="K21" t="s">
        <v>106</v>
      </c>
      <c r="L21">
        <v>3.7740900000000002</v>
      </c>
      <c r="M21">
        <v>79.337969999999999</v>
      </c>
      <c r="N21">
        <v>267.38182</v>
      </c>
      <c r="S21">
        <v>279.16343999999998</v>
      </c>
      <c r="T21">
        <v>249.73988</v>
      </c>
      <c r="U21">
        <v>236.55078</v>
      </c>
      <c r="V21">
        <v>193.41496000000001</v>
      </c>
      <c r="W21">
        <v>247.26571999999999</v>
      </c>
      <c r="X21">
        <v>302.25238000000002</v>
      </c>
      <c r="Y21">
        <v>281.94628999999998</v>
      </c>
      <c r="Z21">
        <v>279.71152999999998</v>
      </c>
      <c r="AA21">
        <v>269.94339000000002</v>
      </c>
    </row>
    <row r="22" spans="1:27" ht="10.5" x14ac:dyDescent="0.15">
      <c r="J22" t="s">
        <v>107</v>
      </c>
      <c r="K22" t="s">
        <v>108</v>
      </c>
      <c r="L22">
        <v>21.950109999999999</v>
      </c>
      <c r="M22">
        <v>573.13751999999999</v>
      </c>
      <c r="N22">
        <v>2718.4709600000001</v>
      </c>
      <c r="S22">
        <v>3258.3957099999998</v>
      </c>
      <c r="T22">
        <v>3297.3156199999999</v>
      </c>
      <c r="U22">
        <v>3370.37554</v>
      </c>
      <c r="V22">
        <v>3176.8601399999998</v>
      </c>
      <c r="W22">
        <v>4541.8755799999999</v>
      </c>
      <c r="X22">
        <v>6096.5210999999999</v>
      </c>
      <c r="Y22">
        <v>6217.1327799999999</v>
      </c>
      <c r="Z22">
        <v>6478.9581099999996</v>
      </c>
      <c r="AA22">
        <v>6547.5162799999998</v>
      </c>
    </row>
    <row r="23" spans="1:27" ht="10.5" x14ac:dyDescent="0.15">
      <c r="J23" t="s">
        <v>109</v>
      </c>
      <c r="K23" t="s">
        <v>108</v>
      </c>
    </row>
    <row r="24" spans="1:27" ht="10.5" x14ac:dyDescent="0.15">
      <c r="J24" t="s">
        <v>110</v>
      </c>
      <c r="K24" t="s">
        <v>108</v>
      </c>
      <c r="L24">
        <v>0</v>
      </c>
      <c r="M24">
        <v>0</v>
      </c>
      <c r="N24">
        <v>524.06784000000005</v>
      </c>
      <c r="S24">
        <v>2340.5368800000001</v>
      </c>
      <c r="T24">
        <v>1417.7412200000001</v>
      </c>
      <c r="U24">
        <v>2260.4133400000001</v>
      </c>
      <c r="V24">
        <v>2820.71902</v>
      </c>
      <c r="W24">
        <v>3964.5184100000001</v>
      </c>
      <c r="X24">
        <v>5844.6859800000002</v>
      </c>
      <c r="Y24">
        <v>5803.6238199999998</v>
      </c>
      <c r="Z24">
        <v>6259.5571300000001</v>
      </c>
      <c r="AA24">
        <v>6196.0448100000003</v>
      </c>
    </row>
    <row r="25" spans="1:27" ht="10.5" x14ac:dyDescent="0.15">
      <c r="J25" t="s">
        <v>111</v>
      </c>
      <c r="K25" t="s">
        <v>108</v>
      </c>
      <c r="L25">
        <v>21.950109999999999</v>
      </c>
      <c r="M25">
        <v>573.13751999999999</v>
      </c>
      <c r="N25">
        <v>2194.4031100000002</v>
      </c>
      <c r="S25">
        <v>917.85883000000001</v>
      </c>
      <c r="T25">
        <v>1879.5744</v>
      </c>
      <c r="U25">
        <v>1109.9621999999999</v>
      </c>
      <c r="V25">
        <v>356.14112</v>
      </c>
      <c r="W25">
        <v>577.35717</v>
      </c>
      <c r="X25">
        <v>251.83512999999999</v>
      </c>
      <c r="Y25">
        <v>413.50896</v>
      </c>
      <c r="Z25">
        <v>219.40098</v>
      </c>
      <c r="AA25">
        <v>351.47147999999999</v>
      </c>
    </row>
    <row r="26" spans="1:27" ht="10.5" x14ac:dyDescent="0.15">
      <c r="J26" t="s">
        <v>112</v>
      </c>
      <c r="K26" t="s">
        <v>47</v>
      </c>
      <c r="M26">
        <v>5.774</v>
      </c>
      <c r="N26">
        <v>6.774</v>
      </c>
      <c r="S26">
        <v>8.3740000000000006</v>
      </c>
      <c r="T26">
        <v>8.3740000000000006</v>
      </c>
      <c r="U26">
        <v>8.3740000000000006</v>
      </c>
      <c r="V26">
        <v>8.3740000000000006</v>
      </c>
      <c r="W26">
        <v>8.3740000000000006</v>
      </c>
      <c r="X26">
        <v>8.3740000000000006</v>
      </c>
      <c r="Y26">
        <v>8.3740000000000006</v>
      </c>
      <c r="Z26">
        <v>8.3740000000000006</v>
      </c>
      <c r="AA26">
        <v>8.3740000000000006</v>
      </c>
    </row>
    <row r="27" spans="1:27" ht="10.5" x14ac:dyDescent="0.15">
      <c r="J27" t="s">
        <v>113</v>
      </c>
      <c r="K27" t="s">
        <v>51</v>
      </c>
      <c r="L27">
        <v>0</v>
      </c>
      <c r="M27">
        <v>0</v>
      </c>
      <c r="N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</row>
    <row r="28" spans="1:27" ht="10.5" x14ac:dyDescent="0.15">
      <c r="J28" t="s">
        <v>114</v>
      </c>
      <c r="K28" t="s">
        <v>51</v>
      </c>
      <c r="L28">
        <v>0</v>
      </c>
      <c r="M28">
        <v>0</v>
      </c>
      <c r="N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</row>
    <row r="29" spans="1:27" ht="10.5" x14ac:dyDescent="0.15">
      <c r="J29" t="s">
        <v>115</v>
      </c>
      <c r="K29" t="s">
        <v>51</v>
      </c>
      <c r="L29">
        <v>0</v>
      </c>
      <c r="M29">
        <v>0</v>
      </c>
      <c r="N29">
        <v>0</v>
      </c>
      <c r="S29">
        <v>3</v>
      </c>
      <c r="T29">
        <v>27</v>
      </c>
      <c r="U29">
        <v>28</v>
      </c>
      <c r="V29">
        <v>33.1</v>
      </c>
      <c r="W29">
        <v>51.8</v>
      </c>
      <c r="X29">
        <v>56.9</v>
      </c>
      <c r="Y29">
        <v>122.241</v>
      </c>
      <c r="Z29">
        <v>161.5</v>
      </c>
      <c r="AA29">
        <v>147.78005999999999</v>
      </c>
    </row>
    <row r="30" spans="1:27" ht="10.5" x14ac:dyDescent="0.15">
      <c r="J30" t="s">
        <v>116</v>
      </c>
      <c r="K30" t="s">
        <v>47</v>
      </c>
      <c r="M30">
        <v>0</v>
      </c>
      <c r="N30">
        <v>0</v>
      </c>
      <c r="S30">
        <v>0.02</v>
      </c>
      <c r="T30">
        <v>0.02</v>
      </c>
      <c r="U30">
        <v>0.02</v>
      </c>
      <c r="V30">
        <v>0.02</v>
      </c>
      <c r="W30">
        <v>0.02</v>
      </c>
      <c r="X30">
        <v>0.02</v>
      </c>
      <c r="Y30">
        <v>0.02</v>
      </c>
      <c r="Z30">
        <v>0.02</v>
      </c>
      <c r="AA30">
        <v>0.02</v>
      </c>
    </row>
    <row r="31" spans="1:27" ht="10.5" x14ac:dyDescent="0.15">
      <c r="J31" t="s">
        <v>117</v>
      </c>
      <c r="K31" t="s">
        <v>51</v>
      </c>
      <c r="L31">
        <v>0</v>
      </c>
      <c r="M31">
        <v>0</v>
      </c>
      <c r="N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</row>
    <row r="32" spans="1:27" ht="10.5" x14ac:dyDescent="0.15">
      <c r="J32" t="s">
        <v>118</v>
      </c>
      <c r="K32" t="s">
        <v>51</v>
      </c>
      <c r="L32">
        <v>0</v>
      </c>
      <c r="M32">
        <v>0</v>
      </c>
      <c r="N32">
        <v>1297.2222200000001</v>
      </c>
      <c r="S32">
        <v>4856.3888900000002</v>
      </c>
      <c r="T32">
        <v>4000.8333299999999</v>
      </c>
      <c r="U32">
        <v>6824</v>
      </c>
      <c r="V32">
        <v>9612.2999999999993</v>
      </c>
      <c r="W32">
        <v>10393.9</v>
      </c>
      <c r="X32">
        <v>12552.9</v>
      </c>
      <c r="Y32">
        <v>13965.94</v>
      </c>
      <c r="Z32">
        <v>14576.60759</v>
      </c>
      <c r="AA32">
        <v>14553.185160000001</v>
      </c>
    </row>
    <row r="33" spans="10:27" ht="10.5" x14ac:dyDescent="0.15">
      <c r="J33" t="s">
        <v>119</v>
      </c>
      <c r="K33" t="s">
        <v>47</v>
      </c>
      <c r="L33">
        <v>1072</v>
      </c>
      <c r="M33">
        <v>1072</v>
      </c>
      <c r="N33">
        <v>1180</v>
      </c>
      <c r="S33">
        <v>1580</v>
      </c>
      <c r="T33">
        <v>1580</v>
      </c>
      <c r="U33">
        <v>1580</v>
      </c>
      <c r="V33">
        <v>1580</v>
      </c>
      <c r="W33">
        <v>1584</v>
      </c>
      <c r="X33">
        <v>1584</v>
      </c>
      <c r="Y33">
        <v>1584</v>
      </c>
      <c r="Z33">
        <v>1584</v>
      </c>
      <c r="AA33">
        <v>1584</v>
      </c>
    </row>
    <row r="34" spans="10:27" ht="10.5" x14ac:dyDescent="0.15">
      <c r="J34" t="s">
        <v>120</v>
      </c>
      <c r="K34" t="s">
        <v>51</v>
      </c>
      <c r="L34">
        <v>5801</v>
      </c>
      <c r="M34">
        <v>6606</v>
      </c>
      <c r="N34">
        <v>6996</v>
      </c>
      <c r="S34">
        <v>5845</v>
      </c>
      <c r="T34">
        <v>5561</v>
      </c>
      <c r="U34">
        <v>5616</v>
      </c>
      <c r="V34">
        <v>6017</v>
      </c>
      <c r="W34">
        <v>7251.6</v>
      </c>
      <c r="X34">
        <v>7293.2</v>
      </c>
      <c r="Y34">
        <v>7520.8159999999998</v>
      </c>
      <c r="Z34">
        <v>8191.9</v>
      </c>
      <c r="AA34">
        <v>9186.5559599999997</v>
      </c>
    </row>
    <row r="35" spans="10:27" ht="10.5" x14ac:dyDescent="0.15">
      <c r="J35" t="s">
        <v>121</v>
      </c>
      <c r="K35" t="s">
        <v>47</v>
      </c>
      <c r="L35">
        <v>1162</v>
      </c>
      <c r="M35">
        <v>1657.7739999999999</v>
      </c>
      <c r="N35">
        <v>2171.7739999999999</v>
      </c>
      <c r="S35">
        <v>3671.8409999999999</v>
      </c>
      <c r="T35">
        <v>3946.7049999999999</v>
      </c>
      <c r="U35">
        <v>4544.7070000000003</v>
      </c>
      <c r="V35">
        <v>5052.3519999999999</v>
      </c>
      <c r="W35">
        <v>5346.7780000000002</v>
      </c>
      <c r="X35">
        <v>5381.75</v>
      </c>
      <c r="Y35">
        <v>5443.7290000000003</v>
      </c>
      <c r="Z35">
        <v>5448.7290000000003</v>
      </c>
      <c r="AA35">
        <v>5448.7290000000003</v>
      </c>
    </row>
    <row r="36" spans="10:27" ht="10.5" x14ac:dyDescent="0.15">
      <c r="J36" t="s">
        <v>122</v>
      </c>
      <c r="K36" t="s">
        <v>123</v>
      </c>
      <c r="L36">
        <v>75.225049999999996</v>
      </c>
      <c r="M36">
        <v>84.298590000000004</v>
      </c>
      <c r="N36">
        <v>84.918779999999998</v>
      </c>
      <c r="S36">
        <v>127.18120999999999</v>
      </c>
      <c r="T36">
        <v>133.54078999999999</v>
      </c>
      <c r="U36">
        <v>150.37613999999999</v>
      </c>
      <c r="V36">
        <v>163.66203999999999</v>
      </c>
      <c r="W36">
        <v>169.61895999999999</v>
      </c>
      <c r="X36">
        <v>167.23688000000001</v>
      </c>
      <c r="Y36">
        <v>165.80037999999999</v>
      </c>
      <c r="Z36">
        <v>162.76587000000001</v>
      </c>
    </row>
    <row r="37" spans="10:27" ht="10.5" x14ac:dyDescent="0.15">
      <c r="J37" t="s">
        <v>124</v>
      </c>
      <c r="K37" t="s">
        <v>51</v>
      </c>
      <c r="L37">
        <v>5816</v>
      </c>
      <c r="M37">
        <v>7224</v>
      </c>
      <c r="N37">
        <v>10167</v>
      </c>
      <c r="S37">
        <v>11672</v>
      </c>
      <c r="T37">
        <v>13203</v>
      </c>
      <c r="U37">
        <v>14248</v>
      </c>
      <c r="V37">
        <v>16425.099999999999</v>
      </c>
      <c r="W37">
        <v>18368.400000000001</v>
      </c>
      <c r="X37">
        <v>20170.3</v>
      </c>
      <c r="Y37">
        <v>22050.77</v>
      </c>
      <c r="Z37">
        <v>23163</v>
      </c>
      <c r="AA37">
        <v>24255.145850000001</v>
      </c>
    </row>
    <row r="38" spans="10:27" ht="10.5" x14ac:dyDescent="0.15">
      <c r="J38" t="s">
        <v>125</v>
      </c>
      <c r="K38" t="s">
        <v>104</v>
      </c>
    </row>
    <row r="39" spans="10:27" ht="10.5" x14ac:dyDescent="0.15">
      <c r="J39" t="s">
        <v>126</v>
      </c>
      <c r="K39" t="s">
        <v>47</v>
      </c>
      <c r="L39">
        <v>0</v>
      </c>
      <c r="M39">
        <v>0</v>
      </c>
      <c r="N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</row>
    <row r="40" spans="10:27" ht="10.5" x14ac:dyDescent="0.15">
      <c r="J40" t="s">
        <v>127</v>
      </c>
      <c r="K40" t="s">
        <v>51</v>
      </c>
      <c r="L40">
        <v>0</v>
      </c>
      <c r="M40">
        <v>0</v>
      </c>
      <c r="N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</row>
    <row r="41" spans="10:27" ht="10.5" x14ac:dyDescent="0.15">
      <c r="J41" t="s">
        <v>128</v>
      </c>
      <c r="K41" t="s">
        <v>51</v>
      </c>
      <c r="L41">
        <v>15</v>
      </c>
      <c r="M41">
        <v>618</v>
      </c>
      <c r="N41">
        <v>1873.7777799999999</v>
      </c>
      <c r="S41">
        <v>967.5</v>
      </c>
      <c r="T41">
        <v>3614.1666700000001</v>
      </c>
      <c r="U41">
        <v>1780</v>
      </c>
      <c r="V41">
        <v>762.7</v>
      </c>
      <c r="W41">
        <v>671.1</v>
      </c>
      <c r="X41">
        <v>267.3</v>
      </c>
      <c r="Y41">
        <v>441.77300000000002</v>
      </c>
      <c r="Z41">
        <v>232.99241000000001</v>
      </c>
      <c r="AA41">
        <v>367.62466999999998</v>
      </c>
    </row>
    <row r="42" spans="10:27" ht="10.5" x14ac:dyDescent="0.15">
      <c r="J42" t="s">
        <v>129</v>
      </c>
      <c r="K42" t="s">
        <v>47</v>
      </c>
      <c r="L42">
        <v>0</v>
      </c>
      <c r="M42">
        <v>0</v>
      </c>
      <c r="N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</row>
    <row r="43" spans="10:27" ht="10.5" x14ac:dyDescent="0.15">
      <c r="J43" t="s">
        <v>130</v>
      </c>
      <c r="K43" t="s">
        <v>47</v>
      </c>
      <c r="L43">
        <v>0</v>
      </c>
      <c r="M43">
        <v>340</v>
      </c>
      <c r="N43">
        <v>340</v>
      </c>
      <c r="S43">
        <v>666</v>
      </c>
      <c r="T43">
        <v>1316</v>
      </c>
      <c r="U43">
        <v>1496</v>
      </c>
      <c r="V43">
        <v>1496</v>
      </c>
      <c r="W43">
        <v>2529</v>
      </c>
      <c r="X43">
        <v>2673</v>
      </c>
      <c r="Y43">
        <v>2673</v>
      </c>
      <c r="Z43">
        <v>2673</v>
      </c>
      <c r="AA43">
        <v>2673</v>
      </c>
    </row>
    <row r="44" spans="10:27" ht="10.5" x14ac:dyDescent="0.15">
      <c r="J44" t="s">
        <v>131</v>
      </c>
      <c r="K44" t="s">
        <v>47</v>
      </c>
      <c r="L44">
        <v>90</v>
      </c>
      <c r="M44">
        <v>585.774</v>
      </c>
      <c r="N44">
        <v>991.774</v>
      </c>
      <c r="S44">
        <v>2061.3739999999998</v>
      </c>
      <c r="T44">
        <v>2332.3739999999998</v>
      </c>
      <c r="U44">
        <v>2925.3739999999998</v>
      </c>
      <c r="V44">
        <v>3406.3739999999998</v>
      </c>
      <c r="W44">
        <v>3690.3739999999998</v>
      </c>
      <c r="X44">
        <v>3702.3739999999998</v>
      </c>
      <c r="Y44">
        <v>3761.3739999999998</v>
      </c>
      <c r="Z44">
        <v>3766.3739999999998</v>
      </c>
      <c r="AA44">
        <v>3766.3739999999998</v>
      </c>
    </row>
    <row r="45" spans="10:27" ht="10.5" x14ac:dyDescent="0.15">
      <c r="J45" t="s">
        <v>132</v>
      </c>
      <c r="K45" t="s">
        <v>51</v>
      </c>
      <c r="L45">
        <v>15</v>
      </c>
      <c r="M45">
        <v>618</v>
      </c>
      <c r="N45">
        <v>3171</v>
      </c>
      <c r="S45">
        <v>5824</v>
      </c>
      <c r="T45">
        <v>7615</v>
      </c>
      <c r="U45">
        <v>8604</v>
      </c>
      <c r="V45">
        <v>10375</v>
      </c>
      <c r="W45">
        <v>11065</v>
      </c>
      <c r="X45">
        <v>12820.2</v>
      </c>
      <c r="Y45">
        <v>14407.713</v>
      </c>
      <c r="Z45">
        <v>14809.6</v>
      </c>
      <c r="AA45">
        <v>14920.80983</v>
      </c>
    </row>
    <row r="46" spans="10:27" ht="10.5" x14ac:dyDescent="0.15">
      <c r="J46" t="s">
        <v>133</v>
      </c>
      <c r="K46" t="s">
        <v>47</v>
      </c>
      <c r="L46">
        <v>90</v>
      </c>
      <c r="M46">
        <v>240</v>
      </c>
      <c r="N46">
        <v>645</v>
      </c>
      <c r="S46">
        <v>1387</v>
      </c>
      <c r="T46">
        <v>1008</v>
      </c>
      <c r="U46">
        <v>1421</v>
      </c>
      <c r="V46">
        <v>1902</v>
      </c>
      <c r="W46">
        <v>1153</v>
      </c>
      <c r="X46">
        <v>1021</v>
      </c>
      <c r="Y46">
        <v>1080</v>
      </c>
      <c r="Z46">
        <v>1085</v>
      </c>
      <c r="AA46">
        <v>1085</v>
      </c>
    </row>
    <row r="47" spans="10:27" ht="10.5" x14ac:dyDescent="0.15">
      <c r="J47" t="s">
        <v>134</v>
      </c>
      <c r="K47" t="s">
        <v>57</v>
      </c>
      <c r="N47">
        <v>50.014380000000003</v>
      </c>
      <c r="S47">
        <v>41.924309999999998</v>
      </c>
      <c r="T47">
        <v>57.01925</v>
      </c>
      <c r="U47">
        <v>60.9985</v>
      </c>
      <c r="V47">
        <v>68.855000000000004</v>
      </c>
      <c r="W47">
        <v>52.973179999999999</v>
      </c>
      <c r="X47">
        <v>43.396120000000003</v>
      </c>
      <c r="Y47">
        <v>48.622680000000003</v>
      </c>
      <c r="Z47">
        <v>47.052300000000002</v>
      </c>
      <c r="AA47">
        <v>47.458219999999997</v>
      </c>
    </row>
    <row r="48" spans="10:27" ht="10.5" x14ac:dyDescent="0.15">
      <c r="J48" t="s">
        <v>135</v>
      </c>
      <c r="K48" t="s">
        <v>104</v>
      </c>
      <c r="L48">
        <v>0</v>
      </c>
      <c r="M48">
        <v>0</v>
      </c>
      <c r="N48">
        <v>223.05808999999999</v>
      </c>
      <c r="S48">
        <v>996.19866000000002</v>
      </c>
      <c r="T48">
        <v>603.43074000000001</v>
      </c>
      <c r="U48">
        <v>962.09582</v>
      </c>
      <c r="V48">
        <v>1200.5777599999999</v>
      </c>
      <c r="W48">
        <v>1687.41111</v>
      </c>
      <c r="X48">
        <v>2487.6635799999999</v>
      </c>
      <c r="Y48">
        <v>2470.1863600000001</v>
      </c>
      <c r="Z48">
        <v>2664.2444700000001</v>
      </c>
      <c r="AA48">
        <v>2637.2118300000002</v>
      </c>
    </row>
    <row r="49" spans="10:27" ht="10.5" x14ac:dyDescent="0.15">
      <c r="J49" t="s">
        <v>136</v>
      </c>
      <c r="K49" t="s">
        <v>104</v>
      </c>
      <c r="L49">
        <v>6.9480000000000004</v>
      </c>
      <c r="M49">
        <v>186.3</v>
      </c>
      <c r="N49">
        <v>714.51</v>
      </c>
      <c r="S49">
        <v>298.86</v>
      </c>
      <c r="T49">
        <v>612</v>
      </c>
      <c r="U49">
        <v>373.75479000000001</v>
      </c>
      <c r="V49">
        <v>132.14525</v>
      </c>
      <c r="W49">
        <v>193.99968999999999</v>
      </c>
      <c r="X49">
        <v>81.707970000000003</v>
      </c>
      <c r="Y49">
        <v>130.48112</v>
      </c>
      <c r="Z49">
        <v>69.231110000000001</v>
      </c>
      <c r="AA49">
        <v>110.90544</v>
      </c>
    </row>
    <row r="50" spans="10:27" ht="10.5" x14ac:dyDescent="0.15">
      <c r="J50" t="s">
        <v>137</v>
      </c>
      <c r="K50" t="s">
        <v>57</v>
      </c>
      <c r="L50">
        <v>98.881450000000001</v>
      </c>
      <c r="M50">
        <v>82.350319999999996</v>
      </c>
      <c r="N50">
        <v>56.805370000000003</v>
      </c>
      <c r="S50">
        <v>55.828670000000002</v>
      </c>
      <c r="T50">
        <v>66.949219999999997</v>
      </c>
      <c r="U50">
        <v>67.280069999999995</v>
      </c>
      <c r="V50">
        <v>76.229600000000005</v>
      </c>
      <c r="W50">
        <v>62.948009999999996</v>
      </c>
      <c r="X50">
        <v>54.18262</v>
      </c>
      <c r="Y50">
        <v>58.206980000000001</v>
      </c>
      <c r="Z50">
        <v>57.708410000000001</v>
      </c>
      <c r="AA50">
        <v>58.744549999999997</v>
      </c>
    </row>
    <row r="51" spans="10:27" ht="10.5" x14ac:dyDescent="0.15">
      <c r="J51" t="s">
        <v>138</v>
      </c>
      <c r="K51" t="s">
        <v>47</v>
      </c>
      <c r="M51">
        <v>0</v>
      </c>
      <c r="N51">
        <v>0</v>
      </c>
      <c r="S51">
        <v>30.446999999999999</v>
      </c>
      <c r="T51">
        <v>34.311</v>
      </c>
      <c r="U51">
        <v>39.313000000000002</v>
      </c>
      <c r="V51">
        <v>65.957999999999998</v>
      </c>
      <c r="W51">
        <v>72.384</v>
      </c>
      <c r="X51">
        <v>95.355999999999995</v>
      </c>
      <c r="Y51">
        <v>98.334999999999994</v>
      </c>
      <c r="Z51">
        <v>98.334999999999994</v>
      </c>
      <c r="AA51">
        <v>98.334999999999994</v>
      </c>
    </row>
    <row r="52" spans="10:27" ht="10.5" x14ac:dyDescent="0.15">
      <c r="J52" t="s">
        <v>139</v>
      </c>
      <c r="K52" t="s">
        <v>140</v>
      </c>
      <c r="L52">
        <v>4554.2168700000002</v>
      </c>
      <c r="M52">
        <v>4345.5863099999997</v>
      </c>
      <c r="N52">
        <v>4681.42634</v>
      </c>
      <c r="S52">
        <v>3168.4378499999998</v>
      </c>
      <c r="T52">
        <v>3299.7145700000001</v>
      </c>
      <c r="U52">
        <v>3095.3370599999998</v>
      </c>
      <c r="V52">
        <v>3215.5122999999999</v>
      </c>
      <c r="W52">
        <v>3401.7122100000001</v>
      </c>
      <c r="X52">
        <v>3747.9072799999999</v>
      </c>
      <c r="Y52">
        <v>3917.9025999999999</v>
      </c>
      <c r="Z52">
        <v>4105.0454200000004</v>
      </c>
    </row>
    <row r="53" spans="10:27" ht="10.5" x14ac:dyDescent="0.15">
      <c r="J53" t="s">
        <v>141</v>
      </c>
      <c r="K53" t="s">
        <v>47</v>
      </c>
      <c r="L53">
        <v>1072</v>
      </c>
      <c r="M53">
        <v>1072</v>
      </c>
      <c r="N53">
        <v>1180</v>
      </c>
      <c r="S53">
        <v>1610.4670000000001</v>
      </c>
      <c r="T53">
        <v>1614.3310000000001</v>
      </c>
      <c r="U53">
        <v>1619.3330000000005</v>
      </c>
      <c r="V53">
        <v>1645.9780000000001</v>
      </c>
      <c r="W53">
        <v>1656.4040000000005</v>
      </c>
      <c r="X53">
        <v>1679.3760000000002</v>
      </c>
      <c r="Y53">
        <v>1682.3550000000005</v>
      </c>
      <c r="Z53">
        <v>1682.3550000000005</v>
      </c>
      <c r="AA53">
        <v>1682.3550000000005</v>
      </c>
    </row>
    <row r="54" spans="10:27" ht="10.5" x14ac:dyDescent="0.15">
      <c r="J54" t="s">
        <v>142</v>
      </c>
      <c r="K54" t="s">
        <v>47</v>
      </c>
      <c r="L54">
        <v>0</v>
      </c>
      <c r="M54">
        <v>0</v>
      </c>
      <c r="N54">
        <v>0</v>
      </c>
      <c r="S54">
        <v>9.9049241031323731E-14</v>
      </c>
      <c r="T54">
        <v>1.3102366414052824E-13</v>
      </c>
      <c r="U54">
        <v>5.3603302352378535E-13</v>
      </c>
      <c r="V54">
        <v>6.7074817922119223E-14</v>
      </c>
      <c r="W54">
        <v>4.5076789523257332E-13</v>
      </c>
      <c r="X54">
        <v>2.0918336507413926E-13</v>
      </c>
      <c r="Y54">
        <v>4.7918960466297733E-13</v>
      </c>
      <c r="Z54">
        <v>4.7918960466297733E-13</v>
      </c>
      <c r="AA54">
        <v>4.7918960466297733E-13</v>
      </c>
    </row>
    <row r="55" spans="10:27" ht="10.5" x14ac:dyDescent="0.15">
      <c r="J55" t="s">
        <v>143</v>
      </c>
      <c r="K55" t="s">
        <v>51</v>
      </c>
      <c r="L55">
        <v>5801</v>
      </c>
      <c r="M55">
        <v>6606</v>
      </c>
      <c r="N55">
        <v>6996</v>
      </c>
      <c r="S55">
        <v>5848</v>
      </c>
      <c r="T55">
        <v>5588</v>
      </c>
      <c r="U55">
        <v>5644</v>
      </c>
      <c r="V55">
        <v>6050.0999999999985</v>
      </c>
      <c r="W55">
        <v>7303.4000000000015</v>
      </c>
      <c r="X55">
        <v>7350.0999999999985</v>
      </c>
      <c r="Y55">
        <v>7643.0570000000007</v>
      </c>
      <c r="Z55">
        <v>8353.4</v>
      </c>
      <c r="AA55">
        <v>9334.3360200000006</v>
      </c>
    </row>
    <row r="56" spans="10:27" ht="10.5" x14ac:dyDescent="0.15">
      <c r="J56" t="s">
        <v>144</v>
      </c>
      <c r="K56" t="s">
        <v>51</v>
      </c>
      <c r="L56">
        <v>0</v>
      </c>
      <c r="M56">
        <v>0</v>
      </c>
      <c r="N56">
        <v>0</v>
      </c>
      <c r="S56">
        <v>0</v>
      </c>
      <c r="T56">
        <v>0</v>
      </c>
      <c r="U56">
        <v>0</v>
      </c>
      <c r="V56">
        <v>0</v>
      </c>
      <c r="W56">
        <v>1.0942358130705543E-12</v>
      </c>
      <c r="X56">
        <v>0</v>
      </c>
      <c r="Y56">
        <v>8.9528384705772623E-13</v>
      </c>
      <c r="Z56">
        <v>0</v>
      </c>
      <c r="AA56">
        <v>9.6633812063373625E-13</v>
      </c>
    </row>
    <row r="57" spans="10:27" ht="10.5" x14ac:dyDescent="0.15">
      <c r="J57" t="s">
        <v>145</v>
      </c>
      <c r="K57" t="s">
        <v>104</v>
      </c>
      <c r="L57">
        <v>6.9480000000000004</v>
      </c>
      <c r="M57">
        <v>186.3</v>
      </c>
      <c r="N57">
        <v>937.56808999999998</v>
      </c>
      <c r="S57">
        <v>1295.0586600000001</v>
      </c>
      <c r="T57">
        <v>1215.43074</v>
      </c>
      <c r="U57">
        <v>1335.85061</v>
      </c>
      <c r="V57">
        <v>1332.7230099999999</v>
      </c>
      <c r="W57">
        <v>1881.4108000000001</v>
      </c>
      <c r="X57">
        <v>2569.3715499999998</v>
      </c>
      <c r="Y57">
        <v>2600.6674800000001</v>
      </c>
      <c r="Z57">
        <v>2733.4755800000003</v>
      </c>
      <c r="AA57">
        <v>2748.1172700000002</v>
      </c>
    </row>
    <row r="58" spans="10:27" ht="10.5" x14ac:dyDescent="0.15">
      <c r="J58" t="s">
        <v>101</v>
      </c>
      <c r="K58" t="s">
        <v>101</v>
      </c>
    </row>
    <row r="59" spans="10:27" ht="10.5" x14ac:dyDescent="0.15"/>
    <row r="60" spans="10:27" ht="10.5" x14ac:dyDescent="0.15"/>
    <row r="61" spans="10:27" ht="10.5" x14ac:dyDescent="0.15"/>
    <row r="62" spans="10:27" ht="10.5" x14ac:dyDescent="0.15"/>
    <row r="63" spans="10:27" ht="10.5" x14ac:dyDescent="0.15"/>
    <row r="64" spans="10:27" ht="10.5" x14ac:dyDescent="0.15"/>
    <row r="65" ht="10.5" x14ac:dyDescent="0.15"/>
    <row r="66" ht="10.5" x14ac:dyDescent="0.15"/>
    <row r="67" ht="10.5" x14ac:dyDescent="0.15"/>
    <row r="68" ht="10.5" x14ac:dyDescent="0.15"/>
    <row r="69" ht="10.5" x14ac:dyDescent="0.15"/>
    <row r="70" ht="10.5" x14ac:dyDescent="0.15"/>
    <row r="71" ht="10.5" x14ac:dyDescent="0.15"/>
    <row r="72" ht="10.5" x14ac:dyDescent="0.15"/>
    <row r="73" ht="10.5" x14ac:dyDescent="0.15"/>
    <row r="74" ht="10.5" x14ac:dyDescent="0.15"/>
    <row r="75" ht="10.5" x14ac:dyDescent="0.15"/>
    <row r="76" ht="10.5" x14ac:dyDescent="0.15"/>
    <row r="77" ht="10.5" x14ac:dyDescent="0.15"/>
    <row r="78" ht="10.5" x14ac:dyDescent="0.15"/>
    <row r="79" ht="10.5" x14ac:dyDescent="0.15"/>
    <row r="80" ht="10.5" x14ac:dyDescent="0.15"/>
    <row r="81" ht="10.5" x14ac:dyDescent="0.15"/>
    <row r="82" ht="10.5" x14ac:dyDescent="0.15"/>
    <row r="83" ht="10.5" x14ac:dyDescent="0.15"/>
    <row r="84" ht="10.5" x14ac:dyDescent="0.15"/>
    <row r="85" ht="10.5" x14ac:dyDescent="0.15"/>
    <row r="86" ht="10.5" x14ac:dyDescent="0.15"/>
    <row r="87" ht="10.5" x14ac:dyDescent="0.15"/>
    <row r="88" ht="10.5" x14ac:dyDescent="0.15"/>
    <row r="89" ht="10.5" x14ac:dyDescent="0.15"/>
    <row r="90" ht="10.5" x14ac:dyDescent="0.15"/>
    <row r="91" ht="10.5" x14ac:dyDescent="0.15"/>
    <row r="92" ht="10.5" x14ac:dyDescent="0.15"/>
    <row r="93" ht="10.5" x14ac:dyDescent="0.15"/>
    <row r="94" ht="10.5" x14ac:dyDescent="0.15"/>
    <row r="95" ht="10.5" x14ac:dyDescent="0.15"/>
    <row r="96" ht="10.5" x14ac:dyDescent="0.15"/>
    <row r="97" ht="10.5" x14ac:dyDescent="0.15"/>
    <row r="98" ht="10.5" x14ac:dyDescent="0.15"/>
  </sheetData>
  <phoneticPr fontId="2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34721-CEBD-4621-9601-A246B2C91825}">
  <sheetPr codeName="Feuil2">
    <tabColor theme="5" tint="-0.249977111117893"/>
    <pageSetUpPr fitToPage="1"/>
  </sheetPr>
  <dimension ref="A1:Z46"/>
  <sheetViews>
    <sheetView tabSelected="1" zoomScaleNormal="100" workbookViewId="0">
      <selection activeCell="B12" sqref="B12"/>
    </sheetView>
  </sheetViews>
  <sheetFormatPr baseColWidth="10" defaultColWidth="9.85546875" defaultRowHeight="13.5" customHeight="1" x14ac:dyDescent="0.15"/>
  <cols>
    <col min="1" max="1" width="3.7109375" customWidth="1"/>
    <col min="2" max="2" width="29.28515625" customWidth="1"/>
    <col min="3" max="3" width="36.28515625" customWidth="1"/>
    <col min="13" max="15" width="8.85546875" customWidth="1"/>
    <col min="16" max="16" width="4.7109375" customWidth="1"/>
  </cols>
  <sheetData>
    <row r="1" spans="1:26" ht="1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9.950000000000003" customHeight="1" x14ac:dyDescent="0.15">
      <c r="A2" s="12"/>
      <c r="B2" s="26" t="str">
        <f>Data!A2&amp;" Power Capacities"</f>
        <v>Ghana Power Capacities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15">
      <c r="A3" s="3"/>
      <c r="B3" s="27" t="s">
        <v>11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8"/>
      <c r="N4" s="29" t="s">
        <v>12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15">
      <c r="A5" s="2"/>
      <c r="B5" s="2" t="s">
        <v>13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100000000000001" customHeight="1" x14ac:dyDescent="0.15">
      <c r="A7" s="2"/>
      <c r="B7" s="30" t="s">
        <v>14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31"/>
      <c r="N7" s="31"/>
      <c r="O7" s="31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15">
      <c r="A9" s="2"/>
      <c r="B9" s="35" t="s">
        <v>15</v>
      </c>
      <c r="C9" s="32" t="s">
        <v>16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15">
      <c r="A10" s="2"/>
      <c r="B10" s="33" t="s">
        <v>17</v>
      </c>
      <c r="C10" s="32" t="s">
        <v>18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15">
      <c r="A11" s="2"/>
      <c r="B11" s="33" t="s">
        <v>19</v>
      </c>
      <c r="C11" s="32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15">
      <c r="A12" s="2"/>
      <c r="B12" s="36" t="s">
        <v>21</v>
      </c>
      <c r="C12" s="34" t="s">
        <v>22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</sheetData>
  <hyperlinks>
    <hyperlink ref="B9" location="Intro!A1" display="Intro" xr:uid="{1671C9D1-6575-41D5-8901-2FD08B2B2465}"/>
    <hyperlink ref="B10" location="'New capacities'!A1" display="New capacities" xr:uid="{B96CF0D6-94D1-4D6C-AA2D-1390A5400D24}"/>
    <hyperlink ref="B11" location="'Power Sector Performances'!A1" display="Power Sector Performances" xr:uid="{87AE1DA9-CB22-4EDB-9526-EE724411E87C}"/>
    <hyperlink ref="N4" r:id="rId1" xr:uid="{35FF02DC-0C84-45FA-AE71-C9F6D2BF8647}"/>
    <hyperlink ref="B12" location="Services!A1" display="Services" xr:uid="{911B5BB1-B6A1-45F8-8D0C-55316E4ED1CC}"/>
  </hyperlinks>
  <pageMargins left="0.70866141732283472" right="0.70866141732283472" top="0.74803149606299213" bottom="0.74803149606299213" header="0.31496062992125984" footer="0.31496062992125984"/>
  <pageSetup paperSize="9" scale="77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0C8B6-26C3-43DA-81A7-EBF295DAF7D5}">
  <sheetPr codeName="Feuil3">
    <tabColor theme="4"/>
  </sheetPr>
  <dimension ref="A1:Q78"/>
  <sheetViews>
    <sheetView zoomScaleNormal="100" zoomScaleSheetLayoutView="100" workbookViewId="0"/>
  </sheetViews>
  <sheetFormatPr baseColWidth="10" defaultColWidth="10" defaultRowHeight="15" customHeight="1" x14ac:dyDescent="0.15"/>
  <cols>
    <col min="1" max="1" width="3.7109375" customWidth="1"/>
    <col min="2" max="8" width="24.28515625" customWidth="1"/>
  </cols>
  <sheetData>
    <row r="1" spans="1:17" ht="1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0" customHeight="1" x14ac:dyDescent="0.15">
      <c r="A2" s="12"/>
      <c r="B2" s="13" t="s">
        <v>17</v>
      </c>
      <c r="C2" s="12"/>
      <c r="D2" s="41"/>
      <c r="E2" s="12"/>
      <c r="F2" s="12"/>
      <c r="G2" s="12"/>
      <c r="H2" s="12"/>
      <c r="I2" s="12"/>
      <c r="J2" s="2"/>
      <c r="K2" s="2"/>
      <c r="L2" s="2"/>
      <c r="M2" s="2"/>
      <c r="N2" s="2"/>
      <c r="O2" s="2"/>
      <c r="P2" s="2"/>
      <c r="Q2" s="2"/>
    </row>
    <row r="3" spans="1:17" ht="15" customHeight="1" x14ac:dyDescent="0.15">
      <c r="A3" s="3"/>
      <c r="B3" s="8" t="str">
        <f>Data!A2&amp;" New Power Capacities"</f>
        <v>Ghana New Power Capacities</v>
      </c>
      <c r="C3" s="3"/>
      <c r="D3" s="3"/>
      <c r="E3" s="3"/>
      <c r="F3" s="3"/>
      <c r="G3" s="3"/>
      <c r="H3" s="51" t="str">
        <f>Data!D2</f>
        <v>12-2024</v>
      </c>
      <c r="I3" s="3"/>
      <c r="J3" s="2"/>
      <c r="K3" s="2"/>
      <c r="L3" s="2"/>
      <c r="M3" s="2"/>
      <c r="N3" s="2"/>
      <c r="O3" s="2"/>
      <c r="P3" s="2"/>
      <c r="Q3" s="2"/>
    </row>
    <row r="4" spans="1:17" ht="13.5" customHeight="1" x14ac:dyDescent="0.15">
      <c r="A4" s="2"/>
      <c r="B4" s="9" t="s">
        <v>12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3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3.5" customHeight="1" x14ac:dyDescent="0.15">
      <c r="A6" s="2"/>
      <c r="B6" s="14" t="str">
        <f>"Under construction capacity: "&amp;Data!C2&amp;" MW"</f>
        <v>Under construction capacity: 1044 MW</v>
      </c>
      <c r="C6" s="2"/>
      <c r="D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3.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20.100000000000001" customHeight="1" x14ac:dyDescent="0.15">
      <c r="A8" s="2"/>
      <c r="B8" s="1" t="s">
        <v>23</v>
      </c>
      <c r="C8" s="11"/>
      <c r="D8" s="11"/>
      <c r="E8" s="11"/>
      <c r="F8" s="11"/>
      <c r="G8" s="11"/>
      <c r="H8" s="11"/>
      <c r="J8" s="2"/>
      <c r="K8" s="2"/>
      <c r="L8" s="2"/>
      <c r="M8" s="2"/>
      <c r="N8" s="2"/>
      <c r="O8" s="2"/>
      <c r="P8" s="2"/>
      <c r="Q8" s="2"/>
    </row>
    <row r="9" spans="1:17" ht="15" customHeight="1" x14ac:dyDescent="0.15">
      <c r="A9" s="2"/>
      <c r="B9" s="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5" customHeight="1" x14ac:dyDescent="0.15">
      <c r="A10" s="2"/>
      <c r="B10" s="5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15" customHeight="1" x14ac:dyDescent="0.15">
      <c r="A11" s="2"/>
      <c r="B11" s="5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5" customHeight="1" x14ac:dyDescent="0.15">
      <c r="A12" s="2"/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15" customHeight="1" x14ac:dyDescent="0.15">
      <c r="A13" s="2"/>
      <c r="B13" s="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15" customHeight="1" x14ac:dyDescent="0.15">
      <c r="A14" s="2"/>
      <c r="B14" s="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15" customHeight="1" x14ac:dyDescent="0.15">
      <c r="A15" s="2"/>
      <c r="B15" s="5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5" customHeight="1" x14ac:dyDescent="0.15">
      <c r="A16" s="2"/>
      <c r="B16" s="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5" customHeight="1" x14ac:dyDescent="0.15">
      <c r="A17" s="2"/>
      <c r="B17" s="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15" customHeight="1" x14ac:dyDescent="0.15">
      <c r="A18" s="2"/>
      <c r="B18" s="5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5" customHeight="1" x14ac:dyDescent="0.15">
      <c r="A19" s="2"/>
      <c r="B19" s="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5" customHeight="1" x14ac:dyDescent="0.15">
      <c r="A20" s="2"/>
      <c r="B20" s="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15" customHeight="1" x14ac:dyDescent="0.15">
      <c r="A21" s="2"/>
      <c r="B21" s="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5" customHeight="1" x14ac:dyDescent="0.15">
      <c r="A22" s="2"/>
      <c r="B22" s="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5" customHeight="1" x14ac:dyDescent="0.15">
      <c r="A23" s="2"/>
      <c r="B23" s="5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" customHeight="1" x14ac:dyDescent="0.15">
      <c r="A24" s="2"/>
      <c r="B24" s="5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" customHeight="1" x14ac:dyDescent="0.15">
      <c r="A25" s="2"/>
      <c r="B25" s="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" customHeight="1" x14ac:dyDescent="0.15">
      <c r="A26" s="2"/>
      <c r="B26" s="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15" customHeight="1" x14ac:dyDescent="0.15">
      <c r="A27" s="2"/>
      <c r="B27" s="5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15" customHeight="1" x14ac:dyDescent="0.15">
      <c r="A28" s="2"/>
      <c r="B28" s="5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15" customHeight="1" x14ac:dyDescent="0.15">
      <c r="A29" s="2"/>
      <c r="B29" s="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15" customHeight="1" x14ac:dyDescent="0.15">
      <c r="A30" s="2"/>
      <c r="B30" s="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15" customHeight="1" x14ac:dyDescent="0.15">
      <c r="A31" s="2"/>
      <c r="B31" s="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15" customHeight="1" x14ac:dyDescent="0.15">
      <c r="A32" s="2"/>
      <c r="B32" s="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15" customHeight="1" x14ac:dyDescent="0.15">
      <c r="A33" s="2"/>
      <c r="B33" s="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t="15" customHeight="1" x14ac:dyDescent="0.15">
      <c r="A34" s="2"/>
      <c r="B34" s="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ht="15" customHeight="1" x14ac:dyDescent="0.15">
      <c r="A35" s="2"/>
      <c r="B35" s="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15" customHeight="1" x14ac:dyDescent="0.15">
      <c r="A36" s="2"/>
      <c r="B36" s="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15" customHeight="1" x14ac:dyDescent="0.15">
      <c r="A37" s="2"/>
      <c r="B37" s="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5" customHeight="1" x14ac:dyDescent="0.15">
      <c r="A38" s="2"/>
      <c r="B38" s="5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15" customHeight="1" x14ac:dyDescent="0.15">
      <c r="A39" s="2"/>
      <c r="B39" s="5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15" customHeight="1" x14ac:dyDescent="0.15">
      <c r="A40" s="2"/>
      <c r="B40" s="5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15" customHeight="1" x14ac:dyDescent="0.15">
      <c r="A41" s="2"/>
      <c r="B41" s="5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15" customHeight="1" x14ac:dyDescent="0.15">
      <c r="A42" s="2"/>
      <c r="B42" s="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15" customHeight="1" x14ac:dyDescent="0.15">
      <c r="A43" s="2"/>
      <c r="B43" s="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5" customHeight="1" x14ac:dyDescent="0.15">
      <c r="A44" s="2"/>
      <c r="B44" s="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ht="15" customHeight="1" x14ac:dyDescent="0.15">
      <c r="A45" s="2"/>
      <c r="B45" s="5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ht="15" customHeight="1" x14ac:dyDescent="0.15">
      <c r="A46" s="2"/>
      <c r="B46" s="5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ht="15" customHeight="1" x14ac:dyDescent="0.15">
      <c r="A47" s="2"/>
      <c r="B47" s="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ht="15" customHeight="1" x14ac:dyDescent="0.15">
      <c r="A48" s="2"/>
      <c r="B48" s="5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5" customHeight="1" x14ac:dyDescent="0.15">
      <c r="A49" s="2"/>
      <c r="B49" s="5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5" customHeight="1" x14ac:dyDescent="0.15">
      <c r="A50" s="2"/>
      <c r="B50" s="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5" customHeight="1" x14ac:dyDescent="0.15">
      <c r="A51" s="2"/>
      <c r="B51" s="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33.75" customHeight="1" x14ac:dyDescent="0.15">
      <c r="A52" s="2"/>
      <c r="B52" s="6" t="s">
        <v>24</v>
      </c>
      <c r="C52" s="17" t="str">
        <f>"Operational (MW)" &amp;CHAR(10)&amp;"("&amp;Data!D2&amp;")"</f>
        <v>Operational (MW)
(12-2024)</v>
      </c>
      <c r="D52" s="7" t="s">
        <v>25</v>
      </c>
      <c r="E52" s="43" t="s">
        <v>26</v>
      </c>
      <c r="F52" s="43" t="s">
        <v>25</v>
      </c>
      <c r="G52" s="44" t="s">
        <v>27</v>
      </c>
      <c r="H52" s="42" t="s">
        <v>25</v>
      </c>
      <c r="I52" s="2"/>
      <c r="J52" s="2"/>
      <c r="K52" s="2"/>
      <c r="L52" s="2"/>
      <c r="M52" s="2"/>
      <c r="N52" s="2"/>
      <c r="O52" s="2"/>
      <c r="P52" s="2"/>
      <c r="Q52" s="2"/>
    </row>
    <row r="53" spans="1:17" ht="15" customHeight="1" x14ac:dyDescent="0.15">
      <c r="A53" s="2"/>
      <c r="B53" s="4" t="s">
        <v>28</v>
      </c>
      <c r="C53" s="10">
        <f>IFERROR(HLOOKUP("operational",[0]!data,MATCH(B53,Data!$A:$A,0)-4,FALSE),0)</f>
        <v>0</v>
      </c>
      <c r="D53" s="47">
        <f>IFERROR(HLOOKUP("operationalShare",[0]!data,MATCH(B53,Data!$A:$A,0)-4,FALSE),0)</f>
        <v>0</v>
      </c>
      <c r="E53" s="10">
        <f>IFERROR(HLOOKUP("ucapproved",[0]!data,MATCH(B53,Data!$A:$A,0)-4,FALSE),0)</f>
        <v>0</v>
      </c>
      <c r="F53" s="47">
        <f>IFERROR(HLOOKUP("ucapprovedShare",[0]!data,MATCH(B53,Data!$A:$A,0)-4,FALSE),0)</f>
        <v>0</v>
      </c>
      <c r="G53" s="10">
        <f>IFERROR(HLOOKUP("planned",[0]!data,MATCH(B53,Data!$A:$A,0)-4,FALSE),0)</f>
        <v>1000</v>
      </c>
      <c r="H53" s="47">
        <f>IFERROR(HLOOKUP("plannedShare",[0]!data,MATCH(B53,Data!$A:$A,0)-4,FALSE),0)</f>
        <v>0.18749062546872655</v>
      </c>
      <c r="I53" s="2"/>
      <c r="J53" s="2"/>
      <c r="K53" s="2"/>
      <c r="L53" s="2"/>
      <c r="M53" s="2"/>
      <c r="N53" s="2"/>
      <c r="O53" s="2"/>
      <c r="P53" s="2"/>
      <c r="Q53" s="2"/>
    </row>
    <row r="54" spans="1:17" ht="15" customHeight="1" x14ac:dyDescent="0.15">
      <c r="A54" s="2"/>
      <c r="B54" s="39" t="s">
        <v>29</v>
      </c>
      <c r="C54" s="38">
        <f>IFERROR(HLOOKUP("operational",[0]!data,MATCH(B54,Data!$A:$A,0)-4,FALSE),0)</f>
        <v>3766.37</v>
      </c>
      <c r="D54" s="48">
        <f>IFERROR(HLOOKUP("operationalShare",[0]!data,MATCH(B54,Data!$A:$A,0)-4,FALSE),0)</f>
        <v>0.69123814173211007</v>
      </c>
      <c r="E54" s="38">
        <f>IFERROR(HLOOKUP("ucapproved",[0]!data,MATCH(B54,Data!$A:$A,0)-4,FALSE),0)</f>
        <v>200</v>
      </c>
      <c r="F54" s="48">
        <f>IFERROR(HLOOKUP("ucapprovedShare",[0]!data,MATCH(B54,Data!$A:$A,0)-4,FALSE),0)</f>
        <v>0.19157088122605365</v>
      </c>
      <c r="G54" s="38">
        <f>IFERROR(HLOOKUP("planned",[0]!data,MATCH(B54,Data!$A:$A,0)-4,FALSE),0)</f>
        <v>1545</v>
      </c>
      <c r="H54" s="48">
        <f>IFERROR(HLOOKUP("plannedShare",[0]!data,MATCH(B54,Data!$A:$A,0)-4,FALSE),0)</f>
        <v>0.28967301634918252</v>
      </c>
      <c r="I54" s="2"/>
      <c r="J54" s="2"/>
      <c r="K54" s="2"/>
      <c r="L54" s="2"/>
      <c r="M54" s="2"/>
      <c r="N54" s="2"/>
      <c r="O54" s="2"/>
      <c r="P54" s="2"/>
      <c r="Q54" s="2"/>
    </row>
    <row r="55" spans="1:17" ht="15" customHeight="1" x14ac:dyDescent="0.15">
      <c r="A55" s="2"/>
      <c r="B55" s="19" t="s">
        <v>30</v>
      </c>
      <c r="C55" s="10">
        <f>IFERROR(HLOOKUP("operational",[0]!data,MATCH(B55,Data!$A:$A,0)-4,FALSE),0)</f>
        <v>0</v>
      </c>
      <c r="D55" s="47">
        <f>IFERROR(HLOOKUP("operationalShare",[0]!data,MATCH(B55,Data!$A:$A,0)-4,FALSE),0)</f>
        <v>0</v>
      </c>
      <c r="E55" s="10">
        <f>IFERROR(HLOOKUP("ucapproved",[0]!data,MATCH(B55,Data!$A:$A,0)-4,FALSE),0)</f>
        <v>0</v>
      </c>
      <c r="F55" s="47">
        <f>IFERROR(HLOOKUP("ucapprovedShare",[0]!data,MATCH(B55,Data!$A:$A,0)-4,FALSE),0)</f>
        <v>0</v>
      </c>
      <c r="G55" s="10">
        <f>IFERROR(HLOOKUP("planned",[0]!data,MATCH(B55,Data!$A:$A,0)-4,FALSE),0)</f>
        <v>0</v>
      </c>
      <c r="H55" s="47">
        <f>IFERROR(HLOOKUP("plannedShare",[0]!data,MATCH(B55,Data!$A:$A,0)-4,FALSE),0)</f>
        <v>0</v>
      </c>
      <c r="I55" s="2"/>
      <c r="J55" s="2"/>
      <c r="K55" s="2"/>
      <c r="L55" s="2"/>
      <c r="M55" s="2"/>
      <c r="N55" s="2"/>
      <c r="O55" s="2"/>
      <c r="P55" s="2"/>
      <c r="Q55" s="2"/>
    </row>
    <row r="56" spans="1:17" ht="15" customHeight="1" x14ac:dyDescent="0.15">
      <c r="A56" s="2"/>
      <c r="B56" s="19" t="s">
        <v>31</v>
      </c>
      <c r="C56" s="10">
        <f>IFERROR(HLOOKUP("operational",[0]!data,MATCH(B56,Data!$A:$A,0)-4,FALSE),0)</f>
        <v>2673</v>
      </c>
      <c r="D56" s="47">
        <f>IFERROR(HLOOKUP("operationalShare",[0]!data,MATCH(B56,Data!$A:$A,0)-4,FALSE),0)</f>
        <v>0.49057303261493967</v>
      </c>
      <c r="E56" s="10">
        <f>IFERROR(HLOOKUP("ucapproved",[0]!data,MATCH(B56,Data!$A:$A,0)-4,FALSE),0)</f>
        <v>200</v>
      </c>
      <c r="F56" s="47">
        <f>IFERROR(HLOOKUP("ucapprovedShare",[0]!data,MATCH(B56,Data!$A:$A,0)-4,FALSE),0)</f>
        <v>0.19157088122605365</v>
      </c>
      <c r="G56" s="10">
        <f>IFERROR(HLOOKUP("planned",[0]!data,MATCH(B56,Data!$A:$A,0)-4,FALSE),0)</f>
        <v>1545</v>
      </c>
      <c r="H56" s="47">
        <f>IFERROR(HLOOKUP("plannedShare",[0]!data,MATCH(B56,Data!$A:$A,0)-4,FALSE),0)</f>
        <v>0.28967301634918252</v>
      </c>
      <c r="I56" s="2"/>
      <c r="J56" s="2"/>
      <c r="K56" s="2"/>
      <c r="L56" s="2"/>
      <c r="M56" s="2"/>
      <c r="N56" s="2"/>
      <c r="O56" s="2"/>
      <c r="P56" s="2"/>
      <c r="Q56" s="2"/>
    </row>
    <row r="57" spans="1:17" ht="15" customHeight="1" x14ac:dyDescent="0.15">
      <c r="A57" s="2"/>
      <c r="B57" s="19" t="s">
        <v>32</v>
      </c>
      <c r="C57" s="10">
        <f>IFERROR(HLOOKUP("operational",[0]!data,MATCH(B57,Data!$A:$A,0)-4,FALSE),0)</f>
        <v>1085</v>
      </c>
      <c r="D57" s="47">
        <f>IFERROR(HLOOKUP("operationalShare",[0]!data,MATCH(B57,Data!$A:$A,0)-4,FALSE),0)</f>
        <v>0.19912897133827517</v>
      </c>
      <c r="E57" s="10">
        <f>IFERROR(HLOOKUP("ucapproved",[0]!data,MATCH(B57,Data!$A:$A,0)-4,FALSE),0)</f>
        <v>0</v>
      </c>
      <c r="F57" s="47">
        <f>IFERROR(HLOOKUP("ucapprovedShare",[0]!data,MATCH(B57,Data!$A:$A,0)-4,FALSE),0)</f>
        <v>0</v>
      </c>
      <c r="G57" s="10">
        <f>IFERROR(HLOOKUP("planned",[0]!data,MATCH(B57,Data!$A:$A,0)-4,FALSE),0)</f>
        <v>0</v>
      </c>
      <c r="H57" s="47">
        <f>IFERROR(HLOOKUP("plannedShare",[0]!data,MATCH(B57,Data!$A:$A,0)-4,FALSE),0)</f>
        <v>0</v>
      </c>
      <c r="I57" s="2"/>
      <c r="J57" s="2"/>
      <c r="K57" s="2"/>
      <c r="L57" s="2"/>
      <c r="M57" s="2"/>
      <c r="N57" s="2"/>
      <c r="O57" s="2"/>
      <c r="P57" s="2"/>
      <c r="Q57" s="2"/>
    </row>
    <row r="58" spans="1:17" ht="15" customHeight="1" x14ac:dyDescent="0.15">
      <c r="A58" s="2"/>
      <c r="B58" s="19" t="s">
        <v>33</v>
      </c>
      <c r="C58" s="10">
        <f>IFERROR(HLOOKUP("operational",[0]!data,MATCH(B58,Data!$A:$A,0)-4,FALSE),0)</f>
        <v>8.3699999999999992</v>
      </c>
      <c r="D58" s="47">
        <f>IFERROR(HLOOKUP("operationalShare",[0]!data,MATCH(B58,Data!$A:$A,0)-4,FALSE),0)</f>
        <v>1.5361377788952655E-3</v>
      </c>
      <c r="E58" s="10">
        <f>IFERROR(HLOOKUP("ucapproved",[0]!data,MATCH(B58,Data!$A:$A,0)-4,FALSE),0)</f>
        <v>0</v>
      </c>
      <c r="F58" s="47">
        <f>IFERROR(HLOOKUP("ucapprovedShare",[0]!data,MATCH(B58,Data!$A:$A,0)-4,FALSE),0)</f>
        <v>0</v>
      </c>
      <c r="G58" s="10">
        <f>IFERROR(HLOOKUP("planned",[0]!data,MATCH(B58,Data!$A:$A,0)-4,FALSE),0)</f>
        <v>0</v>
      </c>
      <c r="H58" s="47">
        <f>IFERROR(HLOOKUP("plannedShare",[0]!data,MATCH(B58,Data!$A:$A,0)-4,FALSE),0)</f>
        <v>0</v>
      </c>
      <c r="I58" s="2"/>
      <c r="J58" s="2"/>
      <c r="K58" s="2"/>
      <c r="L58" s="2"/>
      <c r="M58" s="2"/>
      <c r="N58" s="2"/>
      <c r="O58" s="2"/>
      <c r="P58" s="2"/>
      <c r="Q58" s="2"/>
    </row>
    <row r="59" spans="1:17" ht="15" customHeight="1" x14ac:dyDescent="0.15">
      <c r="A59" s="2"/>
      <c r="B59" s="19" t="s">
        <v>34</v>
      </c>
      <c r="C59" s="10">
        <f>IFERROR(HLOOKUP("operational",[0]!data,MATCH(B59,Data!$A:$A,0)-4,FALSE),0)</f>
        <v>0</v>
      </c>
      <c r="D59" s="47">
        <f>IFERROR(HLOOKUP("operationalShare",[0]!data,MATCH(B59,Data!$A:$A,0)-4,FALSE),0)</f>
        <v>0</v>
      </c>
      <c r="E59" s="10">
        <f>IFERROR(HLOOKUP("ucapproved",[0]!data,MATCH(B59,Data!$A:$A,0)-4,FALSE),0)</f>
        <v>0</v>
      </c>
      <c r="F59" s="47">
        <f>IFERROR(HLOOKUP("ucapprovedShare",[0]!data,MATCH(B59,Data!$A:$A,0)-4,FALSE),0)</f>
        <v>0</v>
      </c>
      <c r="G59" s="10">
        <f>IFERROR(HLOOKUP("planned",[0]!data,MATCH(B59,Data!$A:$A,0)-4,FALSE),0)</f>
        <v>0</v>
      </c>
      <c r="H59" s="47">
        <f>IFERROR(HLOOKUP("plannedShare",[0]!data,MATCH(B59,Data!$A:$A,0)-4,FALSE),0)</f>
        <v>0</v>
      </c>
      <c r="I59" s="2"/>
      <c r="J59" s="2"/>
      <c r="K59" s="2"/>
      <c r="L59" s="2"/>
      <c r="M59" s="2"/>
      <c r="N59" s="2"/>
      <c r="O59" s="2"/>
      <c r="P59" s="2"/>
      <c r="Q59" s="2"/>
    </row>
    <row r="60" spans="1:17" ht="15" customHeight="1" x14ac:dyDescent="0.15">
      <c r="A60" s="2"/>
      <c r="B60" s="39" t="s">
        <v>35</v>
      </c>
      <c r="C60" s="38">
        <f>IFERROR(HLOOKUP("operational",[0]!data,MATCH(B60,Data!$A:$A,0)-4,FALSE),0)</f>
        <v>1682.36</v>
      </c>
      <c r="D60" s="48">
        <f>IFERROR(HLOOKUP("operationalShare",[0]!data,MATCH(B60,Data!$A:$A,0)-4,FALSE),0)</f>
        <v>0.30876185826788993</v>
      </c>
      <c r="E60" s="38">
        <f>IFERROR(HLOOKUP("ucapproved",[0]!data,MATCH(B60,Data!$A:$A,0)-4,FALSE),0)</f>
        <v>844</v>
      </c>
      <c r="F60" s="48">
        <f>IFERROR(HLOOKUP("ucapprovedShare",[0]!data,MATCH(B60,Data!$A:$A,0)-4,FALSE),0)</f>
        <v>0.80842911877394641</v>
      </c>
      <c r="G60" s="38">
        <f>IFERROR(HLOOKUP("planned",[0]!data,MATCH(B60,Data!$A:$A,0)-4,FALSE),0)</f>
        <v>2788.6</v>
      </c>
      <c r="H60" s="48">
        <f>IFERROR(HLOOKUP("plannedShare",[0]!data,MATCH(B60,Data!$A:$A,0)-4,FALSE),0)</f>
        <v>0.52283635818209084</v>
      </c>
      <c r="I60" s="2"/>
      <c r="J60" s="2"/>
      <c r="K60" s="2"/>
      <c r="L60" s="2"/>
      <c r="M60" s="2"/>
      <c r="N60" s="2"/>
      <c r="O60" s="2"/>
      <c r="P60" s="2"/>
      <c r="Q60" s="2"/>
    </row>
    <row r="61" spans="1:17" ht="15" customHeight="1" x14ac:dyDescent="0.15">
      <c r="A61" s="2"/>
      <c r="B61" s="19" t="s">
        <v>36</v>
      </c>
      <c r="C61" s="10">
        <f>IFERROR(HLOOKUP("operational",[0]!data,MATCH(B61,Data!$A:$A,0)-4,FALSE),0)</f>
        <v>1584</v>
      </c>
      <c r="D61" s="47">
        <f>IFERROR(HLOOKUP("operationalShare",[0]!data,MATCH(B61,Data!$A:$A,0)-4,FALSE),0)</f>
        <v>0.29070994525329757</v>
      </c>
      <c r="E61" s="10">
        <f>IFERROR(HLOOKUP("ucapproved",[0]!data,MATCH(B61,Data!$A:$A,0)-4,FALSE),0)</f>
        <v>310</v>
      </c>
      <c r="F61" s="47">
        <f>IFERROR(HLOOKUP("ucapprovedShare",[0]!data,MATCH(B61,Data!$A:$A,0)-4,FALSE),0)</f>
        <v>0.29693486590038315</v>
      </c>
      <c r="G61" s="10">
        <f>IFERROR(HLOOKUP("planned",[0]!data,MATCH(B61,Data!$A:$A,0)-4,FALSE),0)</f>
        <v>947</v>
      </c>
      <c r="H61" s="47">
        <f>IFERROR(HLOOKUP("plannedShare",[0]!data,MATCH(B61,Data!$A:$A,0)-4,FALSE),0)</f>
        <v>0.17755362231888405</v>
      </c>
      <c r="I61" s="2"/>
      <c r="J61" s="2"/>
      <c r="K61" s="2"/>
      <c r="L61" s="2"/>
      <c r="M61" s="2"/>
      <c r="N61" s="2"/>
      <c r="O61" s="2"/>
      <c r="P61" s="2"/>
      <c r="Q61" s="2"/>
    </row>
    <row r="62" spans="1:17" ht="15" customHeight="1" x14ac:dyDescent="0.15">
      <c r="A62" s="2"/>
      <c r="B62" s="19" t="s">
        <v>37</v>
      </c>
      <c r="C62" s="10">
        <f>IFERROR(HLOOKUP("operational",[0]!data,MATCH(B62,Data!$A:$A,0)-4,FALSE),0)</f>
        <v>0.02</v>
      </c>
      <c r="D62" s="47">
        <f>IFERROR(HLOOKUP("operationalShare",[0]!data,MATCH(B62,Data!$A:$A,0)-4,FALSE),0)</f>
        <v>3.6705801168345654E-6</v>
      </c>
      <c r="E62" s="10">
        <f>IFERROR(HLOOKUP("ucapproved",[0]!data,MATCH(B62,Data!$A:$A,0)-4,FALSE),0)</f>
        <v>0</v>
      </c>
      <c r="F62" s="47">
        <f>IFERROR(HLOOKUP("ucapprovedShare",[0]!data,MATCH(B62,Data!$A:$A,0)-4,FALSE),0)</f>
        <v>0</v>
      </c>
      <c r="G62" s="10">
        <f>IFERROR(HLOOKUP("planned",[0]!data,MATCH(B62,Data!$A:$A,0)-4,FALSE),0)</f>
        <v>1365</v>
      </c>
      <c r="H62" s="47">
        <f>IFERROR(HLOOKUP("plannedShare",[0]!data,MATCH(B62,Data!$A:$A,0)-4,FALSE),0)</f>
        <v>0.25592470376481175</v>
      </c>
      <c r="I62" s="2"/>
      <c r="J62" s="2"/>
      <c r="K62" s="2"/>
      <c r="L62" s="2"/>
      <c r="M62" s="2"/>
      <c r="N62" s="2"/>
      <c r="O62" s="2"/>
      <c r="P62" s="2"/>
      <c r="Q62" s="2"/>
    </row>
    <row r="63" spans="1:17" ht="15" customHeight="1" x14ac:dyDescent="0.15">
      <c r="A63" s="2"/>
      <c r="B63" s="19" t="s">
        <v>38</v>
      </c>
      <c r="C63" s="10">
        <f>IFERROR(HLOOKUP("operational",[0]!data,MATCH(B63,Data!$A:$A,0)-4,FALSE),0)</f>
        <v>98.34</v>
      </c>
      <c r="D63" s="47">
        <f>IFERROR(HLOOKUP("operationalShare",[0]!data,MATCH(B63,Data!$A:$A,0)-4,FALSE),0)</f>
        <v>1.8048242434475559E-2</v>
      </c>
      <c r="E63" s="10">
        <f>IFERROR(HLOOKUP("ucapproved",[0]!data,MATCH(B63,Data!$A:$A,0)-4,FALSE),0)</f>
        <v>514</v>
      </c>
      <c r="F63" s="47">
        <f>IFERROR(HLOOKUP("ucapprovedShare",[0]!data,MATCH(B63,Data!$A:$A,0)-4,FALSE),0)</f>
        <v>0.49233716475095785</v>
      </c>
      <c r="G63" s="10">
        <f>IFERROR(HLOOKUP("planned",[0]!data,MATCH(B63,Data!$A:$A,0)-4,FALSE),0)</f>
        <v>377</v>
      </c>
      <c r="H63" s="47">
        <f>IFERROR(HLOOKUP("plannedShare",[0]!data,MATCH(B63,Data!$A:$A,0)-4,FALSE),0)</f>
        <v>7.0683965801709908E-2</v>
      </c>
      <c r="I63" s="2"/>
      <c r="J63" s="2"/>
      <c r="K63" s="2"/>
      <c r="L63" s="2"/>
      <c r="M63" s="2"/>
      <c r="N63" s="2"/>
      <c r="O63" s="2"/>
      <c r="P63" s="2"/>
      <c r="Q63" s="2"/>
    </row>
    <row r="64" spans="1:17" ht="15" customHeight="1" x14ac:dyDescent="0.15">
      <c r="A64" s="2"/>
      <c r="B64" s="19" t="s">
        <v>39</v>
      </c>
      <c r="C64" s="10">
        <f>IFERROR(HLOOKUP("operational",[0]!data,MATCH(B64,Data!$A:$A,0)-4,FALSE),0)</f>
        <v>0</v>
      </c>
      <c r="D64" s="47">
        <f>IFERROR(HLOOKUP("operationalShare",[0]!data,MATCH(B64,Data!$A:$A,0)-4,FALSE),0)</f>
        <v>0</v>
      </c>
      <c r="E64" s="10">
        <f>IFERROR(HLOOKUP("ucapproved",[0]!data,MATCH(B64,Data!$A:$A,0)-4,FALSE),0)</f>
        <v>20</v>
      </c>
      <c r="F64" s="47">
        <f>IFERROR(HLOOKUP("ucapprovedShare",[0]!data,MATCH(B64,Data!$A:$A,0)-4,FALSE),0)</f>
        <v>1.9157088122605363E-2</v>
      </c>
      <c r="G64" s="10">
        <f>IFERROR(HLOOKUP("planned",[0]!data,MATCH(B64,Data!$A:$A,0)-4,FALSE),0)</f>
        <v>99.599999999999909</v>
      </c>
      <c r="H64" s="47">
        <f>IFERROR(HLOOKUP("plannedShare",[0]!data,MATCH(B64,Data!$A:$A,0)-4,FALSE),0)</f>
        <v>1.8674066296685148E-2</v>
      </c>
      <c r="I64" s="2"/>
      <c r="J64" s="2"/>
      <c r="K64" s="2"/>
      <c r="L64" s="2"/>
      <c r="M64" s="2"/>
      <c r="N64" s="2"/>
      <c r="O64" s="2"/>
      <c r="P64" s="2"/>
      <c r="Q64" s="2"/>
    </row>
    <row r="65" spans="1:17" ht="15" customHeight="1" x14ac:dyDescent="0.15">
      <c r="A65" s="2"/>
      <c r="B65" s="15" t="s">
        <v>40</v>
      </c>
      <c r="C65" s="16">
        <f>IFERROR(HLOOKUP("operational",[0]!data,MATCH(B65,Data!$A:$A,0)-4,FALSE),0)</f>
        <v>5448.73</v>
      </c>
      <c r="D65" s="49">
        <f>IFERROR(HLOOKUP("operationalShare",[0]!data,MATCH(B65,Data!$A:$A,0)-4,FALSE),0)</f>
        <v>1</v>
      </c>
      <c r="E65" s="16">
        <f>IFERROR(HLOOKUP("ucapproved",[0]!data,MATCH(B65,Data!$A:$A,0)-4,FALSE),0)</f>
        <v>1044</v>
      </c>
      <c r="F65" s="49">
        <f>IFERROR(HLOOKUP("ucapprovedShare",[0]!data,MATCH(B65,Data!$A:$A,0)-4,FALSE),0)</f>
        <v>1</v>
      </c>
      <c r="G65" s="16">
        <f>IFERROR(HLOOKUP("planned",[0]!data,MATCH(B65,Data!$A:$A,0)-4,FALSE),0)</f>
        <v>5333.6</v>
      </c>
      <c r="H65" s="49">
        <f>IFERROR(HLOOKUP("plannedShare",[0]!data,MATCH(B65,Data!$A:$A,0)-4,FALSE),0)</f>
        <v>1</v>
      </c>
      <c r="I65" s="2"/>
      <c r="J65" s="2"/>
      <c r="K65" s="2"/>
      <c r="L65" s="2"/>
      <c r="M65" s="2"/>
      <c r="N65" s="2"/>
      <c r="O65" s="2"/>
      <c r="P65" s="2"/>
      <c r="Q65" s="2"/>
    </row>
    <row r="66" spans="1:17" ht="15" customHeight="1" x14ac:dyDescent="0.15">
      <c r="A66" s="2"/>
      <c r="B66" s="40" t="s">
        <v>41</v>
      </c>
      <c r="C66" s="38">
        <f>IFERROR(HLOOKUP("operational",[0]!data,MATCH(B66,Data!$A:$A,0)-4,FALSE),0)</f>
        <v>1690.7299999999998</v>
      </c>
      <c r="D66" s="48">
        <f>IFERROR(HLOOKUP("operationalShare",[0]!data,MATCH(B66,Data!$A:$A,0)-4,FALSE),0)</f>
        <v>0.31029799604678521</v>
      </c>
      <c r="E66" s="38">
        <f>IFERROR(HLOOKUP("ucapproved",[0]!data,MATCH(B66,Data!$A:$A,0)-4,FALSE),0)</f>
        <v>844</v>
      </c>
      <c r="F66" s="48">
        <f>IFERROR(HLOOKUP("ucapprovedShare",[0]!data,MATCH(B66,Data!$A:$A,0)-4,FALSE),0)</f>
        <v>0.80842911877394641</v>
      </c>
      <c r="G66" s="38">
        <f>IFERROR(HLOOKUP("planned",[0]!data,MATCH(B66,Data!$A:$A,0)-4,FALSE),0)</f>
        <v>3788.6</v>
      </c>
      <c r="H66" s="48">
        <f>IFERROR(HLOOKUP("plannedShare",[0]!data,MATCH(B66,Data!$A:$A,0)-4,FALSE),0)</f>
        <v>0.71032698365081737</v>
      </c>
      <c r="I66" s="2"/>
      <c r="J66" s="2"/>
      <c r="K66" s="2"/>
      <c r="L66" s="2"/>
      <c r="M66" s="2"/>
      <c r="N66" s="2"/>
      <c r="O66" s="2"/>
      <c r="P66" s="2"/>
      <c r="Q66" s="2"/>
    </row>
    <row r="67" spans="1:17" ht="15" customHeight="1" x14ac:dyDescent="0.15">
      <c r="A67" s="2"/>
      <c r="B67" s="2" t="s">
        <v>42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5" customHeight="1" x14ac:dyDescent="0.15">
      <c r="A68" s="2"/>
      <c r="B68" s="2" t="s">
        <v>43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15" customHeight="1" x14ac:dyDescent="0.15">
      <c r="A69" s="2"/>
      <c r="B69" s="2" t="s">
        <v>44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15" customHeight="1" x14ac:dyDescent="0.15">
      <c r="A71" s="2"/>
      <c r="B71" s="2" t="s">
        <v>45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1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15" customHeight="1" x14ac:dyDescent="0.15">
      <c r="A73" s="2"/>
      <c r="B73" s="2" t="s">
        <v>13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1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1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1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1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</sheetData>
  <conditionalFormatting sqref="C1:H7">
    <cfRule type="cellIs" dxfId="37" priority="111" operator="equal">
      <formula>"n.a."</formula>
    </cfRule>
  </conditionalFormatting>
  <conditionalFormatting sqref="C9:H1048576">
    <cfRule type="cellIs" dxfId="36" priority="1" operator="equal">
      <formula>"n.a."</formula>
    </cfRule>
  </conditionalFormatting>
  <conditionalFormatting sqref="I2:I3">
    <cfRule type="cellIs" dxfId="35" priority="46" operator="equal">
      <formula>"n.a."</formula>
    </cfRule>
  </conditionalFormatting>
  <hyperlinks>
    <hyperlink ref="B4" r:id="rId1" xr:uid="{346D07C5-2ACA-4A70-9BAE-5D60154EF472}"/>
  </hyperlinks>
  <pageMargins left="0.70866141732283472" right="0.70866141732283472" top="0.74803149606299213" bottom="0.74803149606299213" header="0.31496062992125984" footer="0.31496062992125984"/>
  <pageSetup paperSize="9" scale="70" fitToHeight="2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3CC02-21BF-4673-91EE-7C29F4DBC767}">
  <sheetPr codeName="Feuil4">
    <tabColor theme="4"/>
  </sheetPr>
  <dimension ref="A1:W222"/>
  <sheetViews>
    <sheetView zoomScaleNormal="100" workbookViewId="0"/>
  </sheetViews>
  <sheetFormatPr baseColWidth="10" defaultColWidth="10" defaultRowHeight="15" customHeight="1" x14ac:dyDescent="0.15"/>
  <cols>
    <col min="1" max="1" width="3.7109375" customWidth="1"/>
    <col min="2" max="2" width="35.7109375" customWidth="1"/>
    <col min="3" max="3" width="13.7109375" customWidth="1"/>
    <col min="4" max="6" width="11.85546875" customWidth="1"/>
    <col min="7" max="10" width="11.85546875" bestFit="1" customWidth="1"/>
    <col min="11" max="12" width="16.7109375" customWidth="1"/>
  </cols>
  <sheetData>
    <row r="1" spans="1:21" ht="1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0" customHeight="1" x14ac:dyDescent="0.15">
      <c r="A2" s="12"/>
      <c r="B2" s="13" t="s">
        <v>19</v>
      </c>
      <c r="C2" s="12"/>
      <c r="D2" s="12"/>
      <c r="E2" s="12"/>
      <c r="F2" s="41"/>
      <c r="G2" s="12"/>
      <c r="H2" s="12"/>
      <c r="I2" s="12"/>
      <c r="J2" s="12"/>
      <c r="K2" s="12"/>
      <c r="L2" s="12"/>
      <c r="M2" s="1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15">
      <c r="A3" s="3"/>
      <c r="B3" s="8" t="str">
        <f>Data!A2&amp;" Power Sector Performances"</f>
        <v>Ghana Power Sector Performances</v>
      </c>
      <c r="C3" s="3"/>
      <c r="D3" s="3"/>
      <c r="E3" s="3"/>
      <c r="F3" s="3"/>
      <c r="G3" s="3"/>
      <c r="H3" s="3"/>
      <c r="I3" s="3"/>
      <c r="J3" s="3"/>
      <c r="K3" s="3"/>
      <c r="L3" s="51" t="str">
        <f>Data!D2</f>
        <v>12-2024</v>
      </c>
      <c r="M3" s="3"/>
      <c r="N3" s="2"/>
      <c r="O3" s="2"/>
      <c r="P3" s="2"/>
      <c r="Q3" s="2"/>
      <c r="R3" s="2"/>
      <c r="S3" s="2"/>
      <c r="T3" s="2"/>
      <c r="U3" s="2"/>
    </row>
    <row r="4" spans="1:21" ht="13.5" customHeight="1" x14ac:dyDescent="0.15">
      <c r="A4" s="2"/>
      <c r="B4" s="9" t="s">
        <v>12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3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20.100000000000001" customHeight="1" x14ac:dyDescent="0.15">
      <c r="A6" s="2"/>
      <c r="B6" s="1" t="s">
        <v>46</v>
      </c>
      <c r="C6" s="11"/>
      <c r="D6" s="11"/>
      <c r="E6" s="11"/>
      <c r="F6" s="11"/>
      <c r="G6" s="11"/>
      <c r="H6" s="11"/>
      <c r="I6" s="11"/>
      <c r="J6" s="11"/>
      <c r="K6" s="11"/>
      <c r="L6" s="11"/>
      <c r="N6" s="2"/>
      <c r="O6" s="2"/>
      <c r="P6" s="2"/>
      <c r="Q6" s="2"/>
      <c r="R6" s="2"/>
      <c r="S6" s="2"/>
      <c r="T6" s="2"/>
      <c r="U6" s="2"/>
    </row>
    <row r="7" spans="1:21" ht="15" customHeight="1" x14ac:dyDescent="0.15">
      <c r="A7" s="2"/>
      <c r="B7" s="5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5" customHeight="1" x14ac:dyDescent="0.15">
      <c r="A8" s="2"/>
      <c r="B8" s="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" customHeight="1" x14ac:dyDescent="0.15">
      <c r="A9" s="2"/>
      <c r="B9" s="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5" customHeight="1" x14ac:dyDescent="0.15">
      <c r="A10" s="2"/>
      <c r="B10" s="5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5" customHeight="1" x14ac:dyDescent="0.15">
      <c r="A11" s="2"/>
      <c r="B11" s="5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5" customHeight="1" x14ac:dyDescent="0.15">
      <c r="A12" s="2"/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5" customHeight="1" x14ac:dyDescent="0.15">
      <c r="A13" s="2"/>
      <c r="B13" s="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5" customHeight="1" x14ac:dyDescent="0.15">
      <c r="A14" s="2"/>
      <c r="B14" s="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5" customHeight="1" x14ac:dyDescent="0.15">
      <c r="A15" s="2"/>
      <c r="B15" s="5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5" customHeight="1" x14ac:dyDescent="0.15">
      <c r="A16" s="2"/>
      <c r="B16" s="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5" customHeight="1" x14ac:dyDescent="0.15">
      <c r="A17" s="2"/>
      <c r="B17" s="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5" customHeight="1" x14ac:dyDescent="0.15">
      <c r="A18" s="2"/>
      <c r="B18" s="5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5" customHeight="1" x14ac:dyDescent="0.15">
      <c r="A19" s="2"/>
      <c r="B19" s="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5" customHeight="1" x14ac:dyDescent="0.15">
      <c r="A20" s="2"/>
      <c r="B20" s="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5" customHeight="1" x14ac:dyDescent="0.15">
      <c r="A21" s="2"/>
      <c r="B21" s="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5" customHeight="1" x14ac:dyDescent="0.15">
      <c r="A22" s="2"/>
      <c r="B22" s="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5" customHeight="1" x14ac:dyDescent="0.15">
      <c r="A23" s="2"/>
      <c r="B23" s="5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5" customHeight="1" x14ac:dyDescent="0.15">
      <c r="A24" s="2"/>
      <c r="B24" s="5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5" customHeight="1" x14ac:dyDescent="0.15">
      <c r="A25" s="2"/>
      <c r="B25" s="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34.5" customHeight="1" x14ac:dyDescent="0.15">
      <c r="A26" s="2"/>
      <c r="B26" s="6" t="s">
        <v>47</v>
      </c>
      <c r="C26" s="7">
        <v>1990</v>
      </c>
      <c r="D26" s="7">
        <v>2000</v>
      </c>
      <c r="E26" s="7">
        <v>2010</v>
      </c>
      <c r="F26" s="7">
        <f>J26-4</f>
        <v>2019</v>
      </c>
      <c r="G26" s="7">
        <f>J26-3</f>
        <v>2020</v>
      </c>
      <c r="H26" s="7">
        <f>J26-2</f>
        <v>2021</v>
      </c>
      <c r="I26" s="7">
        <f>J26-1</f>
        <v>2022</v>
      </c>
      <c r="J26" s="7">
        <f>Data!$B$2</f>
        <v>2023</v>
      </c>
      <c r="K26" s="17" t="str">
        <f>I26&amp;"/"&amp;J26&amp;" (%)"</f>
        <v>2022/2023 (%)</v>
      </c>
      <c r="L26" s="18" t="str">
        <f>"CAGR "&amp;F26&amp;"/"&amp;J26&amp;" (%)"</f>
        <v>CAGR 2019/2023 (%)</v>
      </c>
      <c r="M26" s="2"/>
      <c r="N26" s="2"/>
      <c r="O26" s="2"/>
      <c r="P26" s="2"/>
      <c r="Q26" s="2"/>
      <c r="R26" s="2"/>
      <c r="S26" s="2"/>
      <c r="T26" s="2"/>
      <c r="U26" s="2"/>
    </row>
    <row r="27" spans="1:21" ht="15" customHeight="1" x14ac:dyDescent="0.15">
      <c r="A27" s="2"/>
      <c r="B27" s="4" t="s">
        <v>28</v>
      </c>
      <c r="C27" s="10">
        <f>IFERROR(HLOOKUP(C$26,[0]!data,MATCH("enumw",Data!$J:$J,0)-4),0)</f>
        <v>0</v>
      </c>
      <c r="D27" s="10">
        <f>IFERROR(HLOOKUP(D$26,[0]!data,MATCH("enumw",Data!$J:$J,0)-4),0)</f>
        <v>0</v>
      </c>
      <c r="E27" s="10">
        <f>IFERROR(HLOOKUP(E$26,[0]!data,MATCH("enumw",Data!$J:$J,0)-4),0)</f>
        <v>0</v>
      </c>
      <c r="F27" s="10">
        <f>IFERROR(HLOOKUP(F$26,[0]!data,MATCH("enumw",Data!$J:$J,0)-4),0)</f>
        <v>0</v>
      </c>
      <c r="G27" s="10">
        <f>IFERROR(HLOOKUP(G$26,[0]!data,MATCH("enumw",Data!$J:$J,0)-4),0)</f>
        <v>0</v>
      </c>
      <c r="H27" s="10">
        <f>IFERROR(HLOOKUP(H$26,[0]!data,MATCH("enumw",Data!$J:$J,0)-4),0)</f>
        <v>0</v>
      </c>
      <c r="I27" s="10">
        <f>IFERROR(HLOOKUP(I$26,[0]!data,MATCH("enumw",Data!$J:$J,0)-4),0)</f>
        <v>0</v>
      </c>
      <c r="J27" s="10">
        <f>IFERROR(HLOOKUP(J$26,[0]!data,MATCH("enumw",Data!$J:$J,0)-4),0)</f>
        <v>0</v>
      </c>
      <c r="K27" s="20" t="str">
        <f>IFERROR((J27/I27)-1,"")</f>
        <v/>
      </c>
      <c r="L27" s="20" t="str">
        <f>IFERROR(POWER(J27/F27,1/(J$26-F$26))-1,"")</f>
        <v/>
      </c>
      <c r="M27" s="2"/>
      <c r="N27" s="2"/>
      <c r="O27" s="2"/>
      <c r="P27" s="2"/>
      <c r="Q27" s="2"/>
      <c r="R27" s="2"/>
      <c r="S27" s="2"/>
      <c r="T27" s="2"/>
      <c r="U27" s="2"/>
    </row>
    <row r="28" spans="1:21" ht="15" customHeight="1" x14ac:dyDescent="0.15">
      <c r="A28" s="2"/>
      <c r="B28" s="39" t="s">
        <v>29</v>
      </c>
      <c r="C28" s="38">
        <f>IFERROR(HLOOKUP(C$26,[0]!data,MATCH("ethmw",Data!$J:$J,0)-4),0)</f>
        <v>90</v>
      </c>
      <c r="D28" s="38">
        <f>IFERROR(HLOOKUP(D$26,[0]!data,MATCH("ethmw",Data!$J:$J,0)-4),0)</f>
        <v>585.774</v>
      </c>
      <c r="E28" s="38">
        <f>IFERROR(HLOOKUP(E$26,[0]!data,MATCH("ethmw",Data!$J:$J,0)-4),0)</f>
        <v>991.774</v>
      </c>
      <c r="F28" s="38">
        <f>IFERROR(HLOOKUP(F$26,[0]!data,MATCH("ethmw",Data!$J:$J,0)-4),0)</f>
        <v>3690.3739999999998</v>
      </c>
      <c r="G28" s="38">
        <f>IFERROR(HLOOKUP(G$26,[0]!data,MATCH("ethmw",Data!$J:$J,0)-4),0)</f>
        <v>3702.3739999999998</v>
      </c>
      <c r="H28" s="38">
        <f>IFERROR(HLOOKUP(H$26,[0]!data,MATCH("ethmw",Data!$J:$J,0)-4),0)</f>
        <v>3761.3739999999998</v>
      </c>
      <c r="I28" s="38">
        <f>IFERROR(HLOOKUP(I$26,[0]!data,MATCH("ethmw",Data!$J:$J,0)-4),0)</f>
        <v>3766.3739999999998</v>
      </c>
      <c r="J28" s="38">
        <f>IFERROR(HLOOKUP(J$26,[0]!data,MATCH("ethmw",Data!$J:$J,0)-4),0)</f>
        <v>3766.3739999999998</v>
      </c>
      <c r="K28" s="46">
        <f t="shared" ref="K28:K38" si="0">IFERROR((J28/I28)-1,"")</f>
        <v>0</v>
      </c>
      <c r="L28" s="46">
        <f t="shared" ref="L28:L38" si="1">IFERROR(POWER(J28/F28,1/(J$26-F$26))-1,"")</f>
        <v>5.1092396232952364E-3</v>
      </c>
      <c r="M28" s="2"/>
      <c r="N28" s="2"/>
      <c r="O28" s="2"/>
      <c r="P28" s="2"/>
      <c r="Q28" s="2"/>
      <c r="R28" s="2"/>
      <c r="S28" s="2"/>
      <c r="T28" s="2"/>
      <c r="U28" s="2"/>
    </row>
    <row r="29" spans="1:21" ht="15" customHeight="1" x14ac:dyDescent="0.15">
      <c r="A29" s="2"/>
      <c r="B29" s="19" t="s">
        <v>30</v>
      </c>
      <c r="C29" s="10">
        <f>IFERROR(HLOOKUP(C$26,[0]!data,MATCH("etcmw",Data!$J:$J,0)-4),0)</f>
        <v>0</v>
      </c>
      <c r="D29" s="10">
        <f>IFERROR(HLOOKUP(D$26,[0]!data,MATCH("etcmw",Data!$J:$J,0)-4),0)</f>
        <v>0</v>
      </c>
      <c r="E29" s="10">
        <f>IFERROR(HLOOKUP(E$26,[0]!data,MATCH("etcmw",Data!$J:$J,0)-4),0)</f>
        <v>0</v>
      </c>
      <c r="F29" s="10">
        <f>IFERROR(HLOOKUP(F$26,[0]!data,MATCH("etcmw",Data!$J:$J,0)-4),0)</f>
        <v>0</v>
      </c>
      <c r="G29" s="10">
        <f>IFERROR(HLOOKUP(G$26,[0]!data,MATCH("etcmw",Data!$J:$J,0)-4),0)</f>
        <v>0</v>
      </c>
      <c r="H29" s="10">
        <f>IFERROR(HLOOKUP(H$26,[0]!data,MATCH("etcmw",Data!$J:$J,0)-4),0)</f>
        <v>0</v>
      </c>
      <c r="I29" s="10">
        <f>IFERROR(HLOOKUP(I$26,[0]!data,MATCH("etcmw",Data!$J:$J,0)-4),0)</f>
        <v>0</v>
      </c>
      <c r="J29" s="10">
        <f>IFERROR(HLOOKUP(J$26,[0]!data,MATCH("etcmw",Data!$J:$J,0)-4),0)</f>
        <v>0</v>
      </c>
      <c r="K29" s="20" t="str">
        <f t="shared" si="0"/>
        <v/>
      </c>
      <c r="L29" s="20" t="str">
        <f t="shared" si="1"/>
        <v/>
      </c>
      <c r="M29" s="2"/>
      <c r="N29" s="2"/>
      <c r="O29" s="2"/>
      <c r="P29" s="2"/>
      <c r="Q29" s="2"/>
      <c r="R29" s="2"/>
      <c r="S29" s="2"/>
      <c r="T29" s="2"/>
      <c r="U29" s="2"/>
    </row>
    <row r="30" spans="1:21" ht="15" customHeight="1" x14ac:dyDescent="0.15">
      <c r="A30" s="2"/>
      <c r="B30" s="19" t="s">
        <v>31</v>
      </c>
      <c r="C30" s="10">
        <f>IFERROR(HLOOKUP(C$26,[0]!data,MATCH("etgmw",Data!$J:$J,0)-4),0)</f>
        <v>0</v>
      </c>
      <c r="D30" s="10">
        <f>IFERROR(HLOOKUP(D$26,[0]!data,MATCH("etgmw",Data!$J:$J,0)-4),0)</f>
        <v>340</v>
      </c>
      <c r="E30" s="10">
        <f>IFERROR(HLOOKUP(E$26,[0]!data,MATCH("etgmw",Data!$J:$J,0)-4),0)</f>
        <v>340</v>
      </c>
      <c r="F30" s="10">
        <f>IFERROR(HLOOKUP(F$26,[0]!data,MATCH("etgmw",Data!$J:$J,0)-4),0)</f>
        <v>2529</v>
      </c>
      <c r="G30" s="10">
        <f>IFERROR(HLOOKUP(G$26,[0]!data,MATCH("etgmw",Data!$J:$J,0)-4),0)</f>
        <v>2673</v>
      </c>
      <c r="H30" s="10">
        <f>IFERROR(HLOOKUP(H$26,[0]!data,MATCH("etgmw",Data!$J:$J,0)-4),0)</f>
        <v>2673</v>
      </c>
      <c r="I30" s="10">
        <f>IFERROR(HLOOKUP(I$26,[0]!data,MATCH("etgmw",Data!$J:$J,0)-4),0)</f>
        <v>2673</v>
      </c>
      <c r="J30" s="10">
        <f>IFERROR(HLOOKUP(J$26,[0]!data,MATCH("etgmw",Data!$J:$J,0)-4),0)</f>
        <v>2673</v>
      </c>
      <c r="K30" s="20">
        <f t="shared" si="0"/>
        <v>0</v>
      </c>
      <c r="L30" s="20">
        <f t="shared" si="1"/>
        <v>1.3940644406312375E-2</v>
      </c>
      <c r="M30" s="2"/>
      <c r="N30" s="2"/>
      <c r="O30" s="2"/>
      <c r="P30" s="2"/>
      <c r="Q30" s="2"/>
      <c r="R30" s="2"/>
      <c r="S30" s="2"/>
      <c r="T30" s="2"/>
      <c r="U30" s="2"/>
    </row>
    <row r="31" spans="1:21" ht="15" customHeight="1" x14ac:dyDescent="0.15">
      <c r="A31" s="2"/>
      <c r="B31" s="19" t="s">
        <v>32</v>
      </c>
      <c r="C31" s="10">
        <f>IFERROR(HLOOKUP(C$26,[0]!data,MATCH("etpmw",Data!$J:$J,0)-4),0)</f>
        <v>90</v>
      </c>
      <c r="D31" s="10">
        <f>IFERROR(HLOOKUP(D$26,[0]!data,MATCH("etpmw",Data!$J:$J,0)-4),0)</f>
        <v>240</v>
      </c>
      <c r="E31" s="10">
        <f>IFERROR(HLOOKUP(E$26,[0]!data,MATCH("etpmw",Data!$J:$J,0)-4),0)</f>
        <v>645</v>
      </c>
      <c r="F31" s="10">
        <f>IFERROR(HLOOKUP(F$26,[0]!data,MATCH("etpmw",Data!$J:$J,0)-4),0)</f>
        <v>1153</v>
      </c>
      <c r="G31" s="10">
        <f>IFERROR(HLOOKUP(G$26,[0]!data,MATCH("etpmw",Data!$J:$J,0)-4),0)</f>
        <v>1021</v>
      </c>
      <c r="H31" s="10">
        <f>IFERROR(HLOOKUP(H$26,[0]!data,MATCH("etpmw",Data!$J:$J,0)-4),0)</f>
        <v>1080</v>
      </c>
      <c r="I31" s="10">
        <f>IFERROR(HLOOKUP(I$26,[0]!data,MATCH("etpmw",Data!$J:$J,0)-4),0)</f>
        <v>1085</v>
      </c>
      <c r="J31" s="10">
        <f>IFERROR(HLOOKUP(J$26,[0]!data,MATCH("etpmw",Data!$J:$J,0)-4),0)</f>
        <v>1085</v>
      </c>
      <c r="K31" s="20">
        <f t="shared" si="0"/>
        <v>0</v>
      </c>
      <c r="L31" s="20">
        <f t="shared" si="1"/>
        <v>-1.5081924720000139E-2</v>
      </c>
      <c r="M31" s="2"/>
      <c r="N31" s="2"/>
      <c r="O31" s="2"/>
      <c r="P31" s="2"/>
      <c r="Q31" s="2"/>
      <c r="R31" s="2"/>
      <c r="S31" s="2"/>
      <c r="T31" s="2"/>
      <c r="U31" s="2"/>
    </row>
    <row r="32" spans="1:21" ht="15" customHeight="1" x14ac:dyDescent="0.15">
      <c r="A32" s="2"/>
      <c r="B32" s="19" t="s">
        <v>33</v>
      </c>
      <c r="C32" s="10">
        <f>IFERROR(HLOOKUP(C$26,[0]!data,MATCH("eanmw",Data!$J:$J,0)-4),0)</f>
        <v>0</v>
      </c>
      <c r="D32" s="10">
        <f>IFERROR(HLOOKUP(D$26,[0]!data,MATCH("eanmw",Data!$J:$J,0)-4),0)</f>
        <v>5.774</v>
      </c>
      <c r="E32" s="10">
        <f>IFERROR(HLOOKUP(E$26,[0]!data,MATCH("eanmw",Data!$J:$J,0)-4),0)</f>
        <v>6.774</v>
      </c>
      <c r="F32" s="10">
        <f>IFERROR(HLOOKUP(F$26,[0]!data,MATCH("eanmw",Data!$J:$J,0)-4),0)</f>
        <v>8.3740000000000006</v>
      </c>
      <c r="G32" s="10">
        <f>IFERROR(HLOOKUP(G$26,[0]!data,MATCH("eanmw",Data!$J:$J,0)-4),0)</f>
        <v>8.3740000000000006</v>
      </c>
      <c r="H32" s="10">
        <f>IFERROR(HLOOKUP(H$26,[0]!data,MATCH("eanmw",Data!$J:$J,0)-4),0)</f>
        <v>8.3740000000000006</v>
      </c>
      <c r="I32" s="10">
        <f>IFERROR(HLOOKUP(I$26,[0]!data,MATCH("eanmw",Data!$J:$J,0)-4),0)</f>
        <v>8.3740000000000006</v>
      </c>
      <c r="J32" s="10">
        <f>IFERROR(HLOOKUP(J$26,[0]!data,MATCH("eanmw",Data!$J:$J,0)-4),0)</f>
        <v>8.3740000000000006</v>
      </c>
      <c r="K32" s="20">
        <f t="shared" si="0"/>
        <v>0</v>
      </c>
      <c r="L32" s="20">
        <f t="shared" si="1"/>
        <v>0</v>
      </c>
      <c r="M32" s="2"/>
      <c r="N32" s="2"/>
      <c r="O32" s="2"/>
      <c r="P32" s="2"/>
      <c r="Q32" s="2"/>
      <c r="R32" s="2"/>
      <c r="S32" s="2"/>
      <c r="T32" s="2"/>
      <c r="U32" s="2"/>
    </row>
    <row r="33" spans="1:21" ht="15" customHeight="1" x14ac:dyDescent="0.15">
      <c r="A33" s="2"/>
      <c r="B33" s="39" t="s">
        <v>35</v>
      </c>
      <c r="C33" s="38">
        <f>IFERROR(HLOOKUP(C$26,[0]!data,MATCH("enrmw",Data!$J:$J,0)-4),0)</f>
        <v>1072</v>
      </c>
      <c r="D33" s="38">
        <f>IFERROR(HLOOKUP(D$26,[0]!data,MATCH("enrmw",Data!$J:$J,0)-4),0)</f>
        <v>1072</v>
      </c>
      <c r="E33" s="38">
        <f>IFERROR(HLOOKUP(E$26,[0]!data,MATCH("enrmw",Data!$J:$J,0)-4),0)</f>
        <v>1180</v>
      </c>
      <c r="F33" s="38">
        <f>IFERROR(HLOOKUP(F$26,[0]!data,MATCH("enrmw",Data!$J:$J,0)-4),0)</f>
        <v>1656.4040000000005</v>
      </c>
      <c r="G33" s="38">
        <f>IFERROR(HLOOKUP(G$26,[0]!data,MATCH("enrmw",Data!$J:$J,0)-4),0)</f>
        <v>1679.3760000000002</v>
      </c>
      <c r="H33" s="38">
        <f>IFERROR(HLOOKUP(H$26,[0]!data,MATCH("enrmw",Data!$J:$J,0)-4),0)</f>
        <v>1682.3550000000005</v>
      </c>
      <c r="I33" s="38">
        <f>IFERROR(HLOOKUP(I$26,[0]!data,MATCH("enrmw",Data!$J:$J,0)-4),0)</f>
        <v>1682.3550000000005</v>
      </c>
      <c r="J33" s="38">
        <f>IFERROR(HLOOKUP(J$26,[0]!data,MATCH("enrmw",Data!$J:$J,0)-4),0)</f>
        <v>1682.3550000000005</v>
      </c>
      <c r="K33" s="46">
        <f t="shared" si="0"/>
        <v>0</v>
      </c>
      <c r="L33" s="46">
        <f t="shared" si="1"/>
        <v>3.8939643509117161E-3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ht="15" customHeight="1" x14ac:dyDescent="0.15">
      <c r="A34" s="2"/>
      <c r="B34" s="19" t="s">
        <v>36</v>
      </c>
      <c r="C34" s="10">
        <f>IFERROR(HLOOKUP(C$26,[0]!data,MATCH("ehymw",Data!$J:$J,0)-4),0)</f>
        <v>1072</v>
      </c>
      <c r="D34" s="10">
        <f>IFERROR(HLOOKUP(D$26,[0]!data,MATCH("ehymw",Data!$J:$J,0)-4),0)</f>
        <v>1072</v>
      </c>
      <c r="E34" s="10">
        <f>IFERROR(HLOOKUP(E$26,[0]!data,MATCH("ehymw",Data!$J:$J,0)-4),0)</f>
        <v>1180</v>
      </c>
      <c r="F34" s="10">
        <f>IFERROR(HLOOKUP(F$26,[0]!data,MATCH("ehymw",Data!$J:$J,0)-4),0)</f>
        <v>1584</v>
      </c>
      <c r="G34" s="10">
        <f>IFERROR(HLOOKUP(G$26,[0]!data,MATCH("ehymw",Data!$J:$J,0)-4),0)</f>
        <v>1584</v>
      </c>
      <c r="H34" s="10">
        <f>IFERROR(HLOOKUP(H$26,[0]!data,MATCH("ehymw",Data!$J:$J,0)-4),0)</f>
        <v>1584</v>
      </c>
      <c r="I34" s="10">
        <f>IFERROR(HLOOKUP(I$26,[0]!data,MATCH("ehymw",Data!$J:$J,0)-4),0)</f>
        <v>1584</v>
      </c>
      <c r="J34" s="10">
        <f>IFERROR(HLOOKUP(J$26,[0]!data,MATCH("ehymw",Data!$J:$J,0)-4),0)</f>
        <v>1584</v>
      </c>
      <c r="K34" s="20">
        <f t="shared" si="0"/>
        <v>0</v>
      </c>
      <c r="L34" s="20">
        <f t="shared" si="1"/>
        <v>0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ht="15" customHeight="1" x14ac:dyDescent="0.15">
      <c r="A35" s="2"/>
      <c r="B35" s="19" t="s">
        <v>37</v>
      </c>
      <c r="C35" s="10">
        <f>IFERROR(HLOOKUP(C$26,[0]!data,MATCH("eeomw",Data!$J:$J,0)-4),0)</f>
        <v>0</v>
      </c>
      <c r="D35" s="10">
        <f>IFERROR(HLOOKUP(D$26,[0]!data,MATCH("eeomw",Data!$J:$J,0)-4),0)</f>
        <v>0</v>
      </c>
      <c r="E35" s="10">
        <f>IFERROR(HLOOKUP(E$26,[0]!data,MATCH("eeomw",Data!$J:$J,0)-4),0)</f>
        <v>0</v>
      </c>
      <c r="F35" s="10">
        <f>IFERROR(HLOOKUP(F$26,[0]!data,MATCH("eeomw",Data!$J:$J,0)-4),0)</f>
        <v>0.02</v>
      </c>
      <c r="G35" s="10">
        <f>IFERROR(HLOOKUP(G$26,[0]!data,MATCH("eeomw",Data!$J:$J,0)-4),0)</f>
        <v>0.02</v>
      </c>
      <c r="H35" s="10">
        <f>IFERROR(HLOOKUP(H$26,[0]!data,MATCH("eeomw",Data!$J:$J,0)-4),0)</f>
        <v>0.02</v>
      </c>
      <c r="I35" s="10">
        <f>IFERROR(HLOOKUP(I$26,[0]!data,MATCH("eeomw",Data!$J:$J,0)-4),0)</f>
        <v>0.02</v>
      </c>
      <c r="J35" s="10">
        <f>IFERROR(HLOOKUP(J$26,[0]!data,MATCH("eeomw",Data!$J:$J,0)-4),0)</f>
        <v>0.02</v>
      </c>
      <c r="K35" s="20">
        <f t="shared" si="0"/>
        <v>0</v>
      </c>
      <c r="L35" s="20">
        <f t="shared" si="1"/>
        <v>0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ht="15" customHeight="1" x14ac:dyDescent="0.15">
      <c r="A36" s="2"/>
      <c r="B36" s="19" t="s">
        <v>48</v>
      </c>
      <c r="C36" s="10">
        <f>IFERROR(HLOOKUP(C$26,[0]!data,MATCH("solmw",Data!$J:$J,0)-4),0)</f>
        <v>0</v>
      </c>
      <c r="D36" s="10">
        <f>IFERROR(HLOOKUP(D$26,[0]!data,MATCH("solmw",Data!$J:$J,0)-4),0)</f>
        <v>0</v>
      </c>
      <c r="E36" s="10">
        <f>IFERROR(HLOOKUP(E$26,[0]!data,MATCH("solmw",Data!$J:$J,0)-4),0)</f>
        <v>0</v>
      </c>
      <c r="F36" s="10">
        <f>IFERROR(HLOOKUP(F$26,[0]!data,MATCH("solmw",Data!$J:$J,0)-4),0)</f>
        <v>72.384</v>
      </c>
      <c r="G36" s="10">
        <f>IFERROR(HLOOKUP(G$26,[0]!data,MATCH("solmw",Data!$J:$J,0)-4),0)</f>
        <v>95.355999999999995</v>
      </c>
      <c r="H36" s="10">
        <f>IFERROR(HLOOKUP(H$26,[0]!data,MATCH("solmw",Data!$J:$J,0)-4),0)</f>
        <v>98.334999999999994</v>
      </c>
      <c r="I36" s="10">
        <f>IFERROR(HLOOKUP(I$26,[0]!data,MATCH("solmw",Data!$J:$J,0)-4),0)</f>
        <v>98.334999999999994</v>
      </c>
      <c r="J36" s="10">
        <f>IFERROR(HLOOKUP(J$26,[0]!data,MATCH("solmw",Data!$J:$J,0)-4),0)</f>
        <v>98.334999999999994</v>
      </c>
      <c r="K36" s="20">
        <f t="shared" si="0"/>
        <v>0</v>
      </c>
      <c r="L36" s="20">
        <f t="shared" si="1"/>
        <v>7.9608725238334399E-2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ht="15" customHeight="1" x14ac:dyDescent="0.15">
      <c r="A37" s="2"/>
      <c r="B37" s="19" t="s">
        <v>39</v>
      </c>
      <c r="C37" s="10">
        <f>IFERROR(HLOOKUP(C$26,[0]!data,MATCH("enomw",Data!$J:$J,0)-4),0)</f>
        <v>0</v>
      </c>
      <c r="D37" s="10">
        <f>IFERROR(HLOOKUP(D$26,[0]!data,MATCH("enomw",Data!$J:$J,0)-4),0)</f>
        <v>0</v>
      </c>
      <c r="E37" s="10">
        <f>IFERROR(HLOOKUP(E$26,[0]!data,MATCH("enomw",Data!$J:$J,0)-4),0)</f>
        <v>0</v>
      </c>
      <c r="F37" s="10">
        <f>IFERROR(HLOOKUP(F$26,[0]!data,MATCH("enomw",Data!$J:$J,0)-4),0)</f>
        <v>4.5076789523257332E-13</v>
      </c>
      <c r="G37" s="10">
        <f>IFERROR(HLOOKUP(G$26,[0]!data,MATCH("enomw",Data!$J:$J,0)-4),0)</f>
        <v>2.0918336507413926E-13</v>
      </c>
      <c r="H37" s="10">
        <f>IFERROR(HLOOKUP(H$26,[0]!data,MATCH("enomw",Data!$J:$J,0)-4),0)</f>
        <v>4.7918960466297733E-13</v>
      </c>
      <c r="I37" s="10">
        <f>IFERROR(HLOOKUP(I$26,[0]!data,MATCH("enomw",Data!$J:$J,0)-4),0)</f>
        <v>4.7918960466297733E-13</v>
      </c>
      <c r="J37" s="10">
        <f>IFERROR(HLOOKUP(J$26,[0]!data,MATCH("enomw",Data!$J:$J,0)-4),0)</f>
        <v>4.7918960466297733E-13</v>
      </c>
      <c r="K37" s="20">
        <f t="shared" si="0"/>
        <v>0</v>
      </c>
      <c r="L37" s="20">
        <f t="shared" si="1"/>
        <v>1.5403375455026902E-2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ht="15" customHeight="1" x14ac:dyDescent="0.15">
      <c r="A38" s="2"/>
      <c r="B38" s="15" t="s">
        <v>40</v>
      </c>
      <c r="C38" s="16">
        <f>IFERROR(HLOOKUP(C$26,[0]!data,MATCH("elemw",Data!$J:$J,0)-4),0)</f>
        <v>1162</v>
      </c>
      <c r="D38" s="16">
        <f>IFERROR(HLOOKUP(D$26,[0]!data,MATCH("elemw",Data!$J:$J,0)-4),0)</f>
        <v>1657.7739999999999</v>
      </c>
      <c r="E38" s="16">
        <f>IFERROR(HLOOKUP(E$26,[0]!data,MATCH("elemw",Data!$J:$J,0)-4),0)</f>
        <v>2171.7739999999999</v>
      </c>
      <c r="F38" s="16">
        <f>IFERROR(HLOOKUP(F$26,[0]!data,MATCH("elemw",Data!$J:$J,0)-4),0)</f>
        <v>5346.7780000000002</v>
      </c>
      <c r="G38" s="16">
        <f>IFERROR(HLOOKUP(G$26,[0]!data,MATCH("elemw",Data!$J:$J,0)-4),0)</f>
        <v>5381.75</v>
      </c>
      <c r="H38" s="16">
        <f>IFERROR(HLOOKUP(H$26,[0]!data,MATCH("elemw",Data!$J:$J,0)-4),0)</f>
        <v>5443.7290000000003</v>
      </c>
      <c r="I38" s="16">
        <f>IFERROR(HLOOKUP(I$26,[0]!data,MATCH("elemw",Data!$J:$J,0)-4),0)</f>
        <v>5448.7290000000003</v>
      </c>
      <c r="J38" s="16">
        <f>IFERROR(HLOOKUP(J$26,[0]!data,MATCH("elemw",Data!$J:$J,0)-4),0)</f>
        <v>5448.7290000000003</v>
      </c>
      <c r="K38" s="21">
        <f t="shared" si="0"/>
        <v>0</v>
      </c>
      <c r="L38" s="21">
        <f t="shared" si="1"/>
        <v>4.7332249805449589E-3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ht="15" customHeight="1" x14ac:dyDescent="0.15">
      <c r="A39" s="2"/>
      <c r="B39" s="5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34.5" customHeight="1" x14ac:dyDescent="0.15">
      <c r="A40" s="2"/>
      <c r="B40" s="6" t="s">
        <v>49</v>
      </c>
      <c r="C40" s="7">
        <v>1990</v>
      </c>
      <c r="D40" s="7">
        <v>2000</v>
      </c>
      <c r="E40" s="7">
        <v>2010</v>
      </c>
      <c r="F40" s="7">
        <f>J40-4</f>
        <v>2019</v>
      </c>
      <c r="G40" s="7">
        <f>J40-3</f>
        <v>2020</v>
      </c>
      <c r="H40" s="7">
        <f>J40-2</f>
        <v>2021</v>
      </c>
      <c r="I40" s="7">
        <f>J40-1</f>
        <v>2022</v>
      </c>
      <c r="J40" s="7">
        <f>Data!$B$2</f>
        <v>2023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" customHeight="1" x14ac:dyDescent="0.15">
      <c r="A41" s="2"/>
      <c r="B41" s="4" t="s">
        <v>28</v>
      </c>
      <c r="C41" s="47">
        <f t="shared" ref="C41:C47" si="2">+C27/C$38</f>
        <v>0</v>
      </c>
      <c r="D41" s="47">
        <f t="shared" ref="D41:J42" si="3">+D27/D$38</f>
        <v>0</v>
      </c>
      <c r="E41" s="47">
        <f t="shared" si="3"/>
        <v>0</v>
      </c>
      <c r="F41" s="47">
        <f t="shared" si="3"/>
        <v>0</v>
      </c>
      <c r="G41" s="47">
        <f t="shared" si="3"/>
        <v>0</v>
      </c>
      <c r="H41" s="47">
        <f t="shared" si="3"/>
        <v>0</v>
      </c>
      <c r="I41" s="47">
        <f t="shared" si="3"/>
        <v>0</v>
      </c>
      <c r="J41" s="47">
        <f>+J27/J$38</f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" customHeight="1" x14ac:dyDescent="0.15">
      <c r="A42" s="2"/>
      <c r="B42" s="39" t="s">
        <v>29</v>
      </c>
      <c r="C42" s="48">
        <f t="shared" si="2"/>
        <v>7.7452667814113599E-2</v>
      </c>
      <c r="D42" s="48">
        <f t="shared" si="3"/>
        <v>0.35334973283451182</v>
      </c>
      <c r="E42" s="48">
        <f t="shared" si="3"/>
        <v>0.45666538046776506</v>
      </c>
      <c r="F42" s="48">
        <f t="shared" si="3"/>
        <v>0.69020520395647611</v>
      </c>
      <c r="G42" s="48">
        <f t="shared" si="3"/>
        <v>0.68794983044548708</v>
      </c>
      <c r="H42" s="48">
        <f t="shared" si="3"/>
        <v>0.69095540942614886</v>
      </c>
      <c r="I42" s="48">
        <f t="shared" si="3"/>
        <v>0.69123900271054028</v>
      </c>
      <c r="J42" s="48">
        <f t="shared" si="3"/>
        <v>0.69123900271054028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5" customHeight="1" x14ac:dyDescent="0.15">
      <c r="A43" s="2"/>
      <c r="B43" s="19" t="s">
        <v>30</v>
      </c>
      <c r="C43" s="47">
        <f t="shared" si="2"/>
        <v>0</v>
      </c>
      <c r="D43" s="47">
        <f t="shared" ref="C43:J52" si="4">+D29/D$38</f>
        <v>0</v>
      </c>
      <c r="E43" s="47">
        <f t="shared" si="4"/>
        <v>0</v>
      </c>
      <c r="F43" s="47">
        <f t="shared" si="4"/>
        <v>0</v>
      </c>
      <c r="G43" s="47">
        <f t="shared" si="4"/>
        <v>0</v>
      </c>
      <c r="H43" s="47">
        <f t="shared" si="4"/>
        <v>0</v>
      </c>
      <c r="I43" s="47">
        <f t="shared" si="4"/>
        <v>0</v>
      </c>
      <c r="J43" s="47">
        <f t="shared" si="4"/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5" customHeight="1" x14ac:dyDescent="0.15">
      <c r="A44" s="2"/>
      <c r="B44" s="19" t="s">
        <v>31</v>
      </c>
      <c r="C44" s="47">
        <f t="shared" si="2"/>
        <v>0</v>
      </c>
      <c r="D44" s="47">
        <f t="shared" si="4"/>
        <v>0.20509430115323321</v>
      </c>
      <c r="E44" s="47">
        <f t="shared" si="4"/>
        <v>0.1565540429160677</v>
      </c>
      <c r="F44" s="47">
        <f t="shared" si="4"/>
        <v>0.47299513838053497</v>
      </c>
      <c r="G44" s="47">
        <f t="shared" si="4"/>
        <v>0.49667858967807871</v>
      </c>
      <c r="H44" s="47">
        <f t="shared" si="4"/>
        <v>0.49102370819708324</v>
      </c>
      <c r="I44" s="47">
        <f t="shared" si="4"/>
        <v>0.49057312264933711</v>
      </c>
      <c r="J44" s="47">
        <f t="shared" si="4"/>
        <v>0.49057312264933711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" customHeight="1" x14ac:dyDescent="0.15">
      <c r="A45" s="2"/>
      <c r="B45" s="19" t="s">
        <v>32</v>
      </c>
      <c r="C45" s="47">
        <f t="shared" si="2"/>
        <v>7.7452667814113599E-2</v>
      </c>
      <c r="D45" s="47">
        <f t="shared" si="4"/>
        <v>0.1447724478728705</v>
      </c>
      <c r="E45" s="47">
        <f t="shared" si="4"/>
        <v>0.29699222847312845</v>
      </c>
      <c r="F45" s="47">
        <f t="shared" si="4"/>
        <v>0.21564388871204301</v>
      </c>
      <c r="G45" s="47">
        <f t="shared" si="4"/>
        <v>0.18971524132484788</v>
      </c>
      <c r="H45" s="47">
        <f t="shared" si="4"/>
        <v>0.19839341745336697</v>
      </c>
      <c r="I45" s="47">
        <f t="shared" si="4"/>
        <v>0.199129007884224</v>
      </c>
      <c r="J45" s="47">
        <f t="shared" si="4"/>
        <v>0.199129007884224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customHeight="1" x14ac:dyDescent="0.15">
      <c r="A46" s="2"/>
      <c r="B46" s="19" t="s">
        <v>33</v>
      </c>
      <c r="C46" s="47">
        <f t="shared" si="2"/>
        <v>0</v>
      </c>
      <c r="D46" s="47">
        <f t="shared" si="4"/>
        <v>3.4829838084081428E-3</v>
      </c>
      <c r="E46" s="47">
        <f t="shared" si="4"/>
        <v>3.1191090785689488E-3</v>
      </c>
      <c r="F46" s="47">
        <f t="shared" si="4"/>
        <v>1.5661768638982206E-3</v>
      </c>
      <c r="G46" s="47">
        <f t="shared" si="4"/>
        <v>1.5559994425605056E-3</v>
      </c>
      <c r="H46" s="47">
        <f t="shared" si="4"/>
        <v>1.5382837756986066E-3</v>
      </c>
      <c r="I46" s="47">
        <f t="shared" si="4"/>
        <v>1.5368721769792551E-3</v>
      </c>
      <c r="J46" s="47">
        <f t="shared" si="4"/>
        <v>1.5368721769792551E-3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" customHeight="1" x14ac:dyDescent="0.15">
      <c r="A47" s="2"/>
      <c r="B47" s="39" t="s">
        <v>35</v>
      </c>
      <c r="C47" s="48">
        <f t="shared" si="2"/>
        <v>0.92254733218588636</v>
      </c>
      <c r="D47" s="48">
        <f t="shared" si="4"/>
        <v>0.64665026716548824</v>
      </c>
      <c r="E47" s="48">
        <f t="shared" si="4"/>
        <v>0.54333461953223494</v>
      </c>
      <c r="F47" s="48">
        <f t="shared" si="4"/>
        <v>0.30979479604352383</v>
      </c>
      <c r="G47" s="48">
        <f t="shared" si="4"/>
        <v>0.31205016955451298</v>
      </c>
      <c r="H47" s="48">
        <f t="shared" si="4"/>
        <v>0.3090445905738512</v>
      </c>
      <c r="I47" s="48">
        <f t="shared" si="4"/>
        <v>0.30876099728945966</v>
      </c>
      <c r="J47" s="48">
        <f t="shared" si="4"/>
        <v>0.30876099728945966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" customHeight="1" x14ac:dyDescent="0.15">
      <c r="A48" s="2"/>
      <c r="B48" s="19" t="s">
        <v>36</v>
      </c>
      <c r="C48" s="47">
        <f t="shared" si="4"/>
        <v>0.92254733218588636</v>
      </c>
      <c r="D48" s="47">
        <f t="shared" si="4"/>
        <v>0.64665026716548824</v>
      </c>
      <c r="E48" s="47">
        <f t="shared" si="4"/>
        <v>0.54333461953223494</v>
      </c>
      <c r="F48" s="47">
        <f t="shared" si="4"/>
        <v>0.29625318275791512</v>
      </c>
      <c r="G48" s="47">
        <f t="shared" si="4"/>
        <v>0.29432805314256516</v>
      </c>
      <c r="H48" s="47">
        <f t="shared" si="4"/>
        <v>0.29097701226493822</v>
      </c>
      <c r="I48" s="47">
        <f t="shared" si="4"/>
        <v>0.29070999860701457</v>
      </c>
      <c r="J48" s="47">
        <f t="shared" si="4"/>
        <v>0.29070999860701457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" customHeight="1" x14ac:dyDescent="0.15">
      <c r="A49" s="2"/>
      <c r="B49" s="19" t="s">
        <v>37</v>
      </c>
      <c r="C49" s="47">
        <f>+C35/C$38</f>
        <v>0</v>
      </c>
      <c r="D49" s="47">
        <f t="shared" si="4"/>
        <v>0</v>
      </c>
      <c r="E49" s="47">
        <f t="shared" si="4"/>
        <v>0</v>
      </c>
      <c r="F49" s="47">
        <f t="shared" si="4"/>
        <v>3.7405704893676155E-6</v>
      </c>
      <c r="G49" s="47">
        <f t="shared" si="4"/>
        <v>3.7162632972546105E-6</v>
      </c>
      <c r="H49" s="47">
        <f t="shared" si="4"/>
        <v>3.6739521750623515E-6</v>
      </c>
      <c r="I49" s="47">
        <f t="shared" si="4"/>
        <v>3.6705807904926081E-6</v>
      </c>
      <c r="J49" s="47">
        <f t="shared" si="4"/>
        <v>3.6705807904926081E-6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5" customHeight="1" x14ac:dyDescent="0.15">
      <c r="A50" s="2"/>
      <c r="B50" s="19" t="s">
        <v>48</v>
      </c>
      <c r="C50" s="47">
        <f>+C36/C$38</f>
        <v>0</v>
      </c>
      <c r="D50" s="47">
        <f t="shared" si="4"/>
        <v>0</v>
      </c>
      <c r="E50" s="47">
        <f t="shared" si="4"/>
        <v>0</v>
      </c>
      <c r="F50" s="47">
        <f t="shared" si="4"/>
        <v>1.3537872715119274E-2</v>
      </c>
      <c r="G50" s="47">
        <f t="shared" si="4"/>
        <v>1.7718400148650532E-2</v>
      </c>
      <c r="H50" s="47">
        <f t="shared" si="4"/>
        <v>1.8063904356737815E-2</v>
      </c>
      <c r="I50" s="47">
        <f t="shared" si="4"/>
        <v>1.804732810165453E-2</v>
      </c>
      <c r="J50" s="47">
        <f t="shared" si="4"/>
        <v>1.804732810165453E-2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" customHeight="1" x14ac:dyDescent="0.15">
      <c r="A51" s="2"/>
      <c r="B51" s="19" t="s">
        <v>39</v>
      </c>
      <c r="C51" s="47">
        <f>+C37/C$38</f>
        <v>0</v>
      </c>
      <c r="D51" s="47">
        <f t="shared" si="4"/>
        <v>0</v>
      </c>
      <c r="E51" s="47">
        <f t="shared" si="4"/>
        <v>0</v>
      </c>
      <c r="F51" s="47">
        <f t="shared" si="4"/>
        <v>8.4306454323065841E-17</v>
      </c>
      <c r="G51" s="47">
        <f t="shared" si="4"/>
        <v>3.8869023101061782E-17</v>
      </c>
      <c r="H51" s="47">
        <f t="shared" si="4"/>
        <v>8.8025984515940693E-17</v>
      </c>
      <c r="I51" s="47">
        <f t="shared" si="4"/>
        <v>8.7945207893983592E-17</v>
      </c>
      <c r="J51" s="47">
        <f t="shared" si="4"/>
        <v>8.7945207893983592E-17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" customHeight="1" x14ac:dyDescent="0.15">
      <c r="A52" s="2"/>
      <c r="B52" s="15" t="s">
        <v>40</v>
      </c>
      <c r="C52" s="49">
        <f>+C38/C$38</f>
        <v>1</v>
      </c>
      <c r="D52" s="49">
        <f t="shared" si="4"/>
        <v>1</v>
      </c>
      <c r="E52" s="49">
        <f t="shared" si="4"/>
        <v>1</v>
      </c>
      <c r="F52" s="49">
        <f t="shared" si="4"/>
        <v>1</v>
      </c>
      <c r="G52" s="49">
        <f t="shared" si="4"/>
        <v>1</v>
      </c>
      <c r="H52" s="49">
        <f t="shared" si="4"/>
        <v>1</v>
      </c>
      <c r="I52" s="49">
        <f t="shared" si="4"/>
        <v>1</v>
      </c>
      <c r="J52" s="49">
        <f t="shared" si="4"/>
        <v>1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5" customHeight="1" x14ac:dyDescent="0.15">
      <c r="A53" s="2"/>
      <c r="B53" s="5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20.100000000000001" customHeight="1" x14ac:dyDescent="0.15">
      <c r="A54" s="2"/>
      <c r="B54" s="1" t="s">
        <v>50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N54" s="2"/>
      <c r="O54" s="2"/>
      <c r="P54" s="2"/>
      <c r="Q54" s="2"/>
      <c r="R54" s="2"/>
      <c r="S54" s="2"/>
      <c r="T54" s="2"/>
      <c r="U54" s="2"/>
    </row>
    <row r="55" spans="1:21" ht="15" customHeight="1" x14ac:dyDescent="0.15">
      <c r="A55" s="2"/>
      <c r="B55" s="5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5" customHeight="1" x14ac:dyDescent="0.15">
      <c r="A56" s="2"/>
      <c r="B56" s="5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5" customHeight="1" x14ac:dyDescent="0.15">
      <c r="A57" s="2"/>
      <c r="B57" s="5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5" customHeight="1" x14ac:dyDescent="0.15">
      <c r="A58" s="2"/>
      <c r="B58" s="5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5" customHeight="1" x14ac:dyDescent="0.15">
      <c r="A59" s="2"/>
      <c r="B59" s="5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5" customHeight="1" x14ac:dyDescent="0.15">
      <c r="A60" s="2"/>
      <c r="B60" s="5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5" customHeight="1" x14ac:dyDescent="0.15">
      <c r="A61" s="2"/>
      <c r="B61" s="5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5" customHeight="1" x14ac:dyDescent="0.15">
      <c r="A62" s="2"/>
      <c r="B62" s="5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5" customHeight="1" x14ac:dyDescent="0.15">
      <c r="A63" s="2"/>
      <c r="B63" s="5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5" customHeight="1" x14ac:dyDescent="0.15">
      <c r="A64" s="2"/>
      <c r="B64" s="5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5" customHeight="1" x14ac:dyDescent="0.15">
      <c r="A65" s="2"/>
      <c r="B65" s="5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5" customHeight="1" x14ac:dyDescent="0.15">
      <c r="A66" s="2"/>
      <c r="B66" s="5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5" customHeight="1" x14ac:dyDescent="0.15">
      <c r="A67" s="2"/>
      <c r="B67" s="5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5" customHeight="1" x14ac:dyDescent="0.15">
      <c r="A68" s="2"/>
      <c r="B68" s="5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5" customHeight="1" x14ac:dyDescent="0.15">
      <c r="A69" s="2"/>
      <c r="B69" s="5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5" customHeight="1" x14ac:dyDescent="0.15">
      <c r="A70" s="2"/>
      <c r="B70" s="5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5" customHeight="1" x14ac:dyDescent="0.15">
      <c r="A71" s="2"/>
      <c r="B71" s="5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5" customHeight="1" x14ac:dyDescent="0.15">
      <c r="A72" s="2"/>
      <c r="B72" s="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5" customHeight="1" x14ac:dyDescent="0.15">
      <c r="A73" s="2"/>
      <c r="B73" s="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34.5" customHeight="1" x14ac:dyDescent="0.15">
      <c r="A74" s="2"/>
      <c r="B74" s="6" t="s">
        <v>51</v>
      </c>
      <c r="C74" s="7">
        <v>1990</v>
      </c>
      <c r="D74" s="7">
        <v>2000</v>
      </c>
      <c r="E74" s="7">
        <v>2010</v>
      </c>
      <c r="F74" s="7">
        <f>J74-4</f>
        <v>2019</v>
      </c>
      <c r="G74" s="7">
        <f>J74-3</f>
        <v>2020</v>
      </c>
      <c r="H74" s="7">
        <f>J74-2</f>
        <v>2021</v>
      </c>
      <c r="I74" s="7">
        <f>J74-1</f>
        <v>2022</v>
      </c>
      <c r="J74" s="7">
        <f>Data!$B$2</f>
        <v>2023</v>
      </c>
      <c r="K74" s="17" t="str">
        <f>I74&amp;"/"&amp;J74&amp;" (%)"</f>
        <v>2022/2023 (%)</v>
      </c>
      <c r="L74" s="18" t="str">
        <f>"CAGR "&amp;F74&amp;"/"&amp;J74&amp;" (%)"</f>
        <v>CAGR 2019/2023 (%)</v>
      </c>
      <c r="M74" s="2"/>
      <c r="N74" s="2"/>
      <c r="O74" s="2"/>
      <c r="P74" s="2"/>
      <c r="Q74" s="2"/>
      <c r="R74" s="2"/>
      <c r="S74" s="2"/>
      <c r="T74" s="2"/>
      <c r="U74" s="2"/>
    </row>
    <row r="75" spans="1:21" ht="15" customHeight="1" x14ac:dyDescent="0.15">
      <c r="A75" s="2"/>
      <c r="B75" s="4" t="s">
        <v>28</v>
      </c>
      <c r="C75" s="10">
        <f>IFERROR(HLOOKUP(C$74,[0]!data,MATCH("enupd",Data!$J:$J,0)-4),0)</f>
        <v>0</v>
      </c>
      <c r="D75" s="10">
        <f>IFERROR(HLOOKUP(D$74,[0]!data,MATCH("enupd",Data!$J:$J,0)-4),0)</f>
        <v>0</v>
      </c>
      <c r="E75" s="10">
        <f>IFERROR(HLOOKUP(E$74,[0]!data,MATCH("enupd",Data!$J:$J,0)-4),0)</f>
        <v>0</v>
      </c>
      <c r="F75" s="10">
        <f>IFERROR(HLOOKUP(F$74,[0]!data,MATCH("enupd",Data!$J:$J,0)-4),0)</f>
        <v>0</v>
      </c>
      <c r="G75" s="10">
        <f>IFERROR(HLOOKUP(G$74,[0]!data,MATCH("enupd",Data!$J:$J,0)-4),0)</f>
        <v>0</v>
      </c>
      <c r="H75" s="10">
        <f>IFERROR(HLOOKUP(H$74,[0]!data,MATCH("enupd",Data!$J:$J,0)-4),0)</f>
        <v>0</v>
      </c>
      <c r="I75" s="10">
        <f>IFERROR(HLOOKUP(I$74,[0]!data,MATCH("enupd",Data!$J:$J,0)-4),0)</f>
        <v>0</v>
      </c>
      <c r="J75" s="10">
        <f>IFERROR(HLOOKUP(J$74,[0]!data,MATCH("enupd",Data!$J:$J,0)-4),0)</f>
        <v>0</v>
      </c>
      <c r="K75" s="20" t="str">
        <f>IFERROR((J75/I75)-1,"")</f>
        <v/>
      </c>
      <c r="L75" s="20" t="str">
        <f>IFERROR(POWER(J75/F75,1/(J$26-F$26))-1,"")</f>
        <v/>
      </c>
      <c r="M75" s="2"/>
      <c r="N75" s="2"/>
      <c r="O75" s="2"/>
      <c r="P75" s="2"/>
      <c r="Q75" s="2"/>
      <c r="R75" s="2"/>
      <c r="S75" s="2"/>
      <c r="T75" s="2"/>
      <c r="U75" s="2"/>
    </row>
    <row r="76" spans="1:21" ht="15" customHeight="1" x14ac:dyDescent="0.15">
      <c r="A76" s="2"/>
      <c r="B76" s="39" t="s">
        <v>29</v>
      </c>
      <c r="C76" s="38">
        <f>IFERROR(HLOOKUP(C$74,[0]!data,MATCH("ethpd",Data!$J:$J,0)-4),0)</f>
        <v>15</v>
      </c>
      <c r="D76" s="38">
        <f>IFERROR(HLOOKUP(D$74,[0]!data,MATCH("ethpd",Data!$J:$J,0)-4),0)</f>
        <v>618</v>
      </c>
      <c r="E76" s="38">
        <f>IFERROR(HLOOKUP(E$74,[0]!data,MATCH("ethpd",Data!$J:$J,0)-4),0)</f>
        <v>3171</v>
      </c>
      <c r="F76" s="38">
        <f>IFERROR(HLOOKUP(F$74,[0]!data,MATCH("ethpd",Data!$J:$J,0)-4),0)</f>
        <v>11065</v>
      </c>
      <c r="G76" s="38">
        <f>IFERROR(HLOOKUP(G$74,[0]!data,MATCH("ethpd",Data!$J:$J,0)-4),0)</f>
        <v>12820.2</v>
      </c>
      <c r="H76" s="38">
        <f>IFERROR(HLOOKUP(H$74,[0]!data,MATCH("ethpd",Data!$J:$J,0)-4),0)</f>
        <v>14407.713</v>
      </c>
      <c r="I76" s="38">
        <f>IFERROR(HLOOKUP(I$74,[0]!data,MATCH("ethpd",Data!$J:$J,0)-4),0)</f>
        <v>14809.6</v>
      </c>
      <c r="J76" s="38">
        <f>IFERROR(HLOOKUP(J$74,[0]!data,MATCH("ethpd",Data!$J:$J,0)-4),0)</f>
        <v>14920.80983</v>
      </c>
      <c r="K76" s="46">
        <f t="shared" ref="K76:K86" si="5">IFERROR((J76/I76)-1,"")</f>
        <v>7.5093068009939312E-3</v>
      </c>
      <c r="L76" s="46">
        <f t="shared" ref="L76:L86" si="6">IFERROR(POWER(J76/F76,1/(J$26-F$26))-1,"")</f>
        <v>7.7606603955428177E-2</v>
      </c>
      <c r="M76" s="2"/>
      <c r="N76" s="2"/>
      <c r="O76" s="2"/>
      <c r="P76" s="2"/>
      <c r="Q76" s="2"/>
      <c r="R76" s="2"/>
      <c r="S76" s="2"/>
      <c r="T76" s="2"/>
      <c r="U76" s="2"/>
    </row>
    <row r="77" spans="1:21" ht="15" customHeight="1" x14ac:dyDescent="0.15">
      <c r="A77" s="2"/>
      <c r="B77" s="19" t="s">
        <v>30</v>
      </c>
      <c r="C77" s="10">
        <f>IFERROR(HLOOKUP(C$74,[0]!data,MATCH("ecmpd",Data!$J:$J,0)-4),0)</f>
        <v>0</v>
      </c>
      <c r="D77" s="10">
        <f>IFERROR(HLOOKUP(D$74,[0]!data,MATCH("ecmpd",Data!$J:$J,0)-4),0)</f>
        <v>0</v>
      </c>
      <c r="E77" s="10">
        <f>IFERROR(HLOOKUP(E$74,[0]!data,MATCH("ecmpd",Data!$J:$J,0)-4),0)</f>
        <v>0</v>
      </c>
      <c r="F77" s="10">
        <f>IFERROR(HLOOKUP(F$74,[0]!data,MATCH("ecmpd",Data!$J:$J,0)-4),0)</f>
        <v>0</v>
      </c>
      <c r="G77" s="10">
        <f>IFERROR(HLOOKUP(G$74,[0]!data,MATCH("ecmpd",Data!$J:$J,0)-4),0)</f>
        <v>0</v>
      </c>
      <c r="H77" s="10">
        <f>IFERROR(HLOOKUP(H$74,[0]!data,MATCH("ecmpd",Data!$J:$J,0)-4),0)</f>
        <v>0</v>
      </c>
      <c r="I77" s="10">
        <f>IFERROR(HLOOKUP(I$74,[0]!data,MATCH("ecmpd",Data!$J:$J,0)-4),0)</f>
        <v>0</v>
      </c>
      <c r="J77" s="10">
        <f>IFERROR(HLOOKUP(J$74,[0]!data,MATCH("ecmpd",Data!$J:$J,0)-4),0)</f>
        <v>0</v>
      </c>
      <c r="K77" s="20" t="str">
        <f t="shared" si="5"/>
        <v/>
      </c>
      <c r="L77" s="20" t="str">
        <f t="shared" si="6"/>
        <v/>
      </c>
      <c r="M77" s="2"/>
      <c r="N77" s="2"/>
      <c r="O77" s="2"/>
      <c r="P77" s="2"/>
      <c r="Q77" s="2"/>
      <c r="R77" s="2"/>
      <c r="S77" s="2"/>
      <c r="T77" s="2"/>
      <c r="U77" s="2"/>
    </row>
    <row r="78" spans="1:21" ht="15" customHeight="1" x14ac:dyDescent="0.15">
      <c r="A78" s="2"/>
      <c r="B78" s="19" t="s">
        <v>31</v>
      </c>
      <c r="C78" s="10">
        <f>IFERROR(HLOOKUP(C$74,[0]!data,MATCH("egzpd",Data!$J:$J,0)-4),0)</f>
        <v>0</v>
      </c>
      <c r="D78" s="10">
        <f>IFERROR(HLOOKUP(D$74,[0]!data,MATCH("egzpd",Data!$J:$J,0)-4),0)</f>
        <v>0</v>
      </c>
      <c r="E78" s="10">
        <f>IFERROR(HLOOKUP(E$74,[0]!data,MATCH("egzpd",Data!$J:$J,0)-4),0)</f>
        <v>1297.2222200000001</v>
      </c>
      <c r="F78" s="10">
        <f>IFERROR(HLOOKUP(F$74,[0]!data,MATCH("egzpd",Data!$J:$J,0)-4),0)</f>
        <v>10393.9</v>
      </c>
      <c r="G78" s="10">
        <f>IFERROR(HLOOKUP(G$74,[0]!data,MATCH("egzpd",Data!$J:$J,0)-4),0)</f>
        <v>12552.9</v>
      </c>
      <c r="H78" s="10">
        <f>IFERROR(HLOOKUP(H$74,[0]!data,MATCH("egzpd",Data!$J:$J,0)-4),0)</f>
        <v>13965.94</v>
      </c>
      <c r="I78" s="10">
        <f>IFERROR(HLOOKUP(I$74,[0]!data,MATCH("egzpd",Data!$J:$J,0)-4),0)</f>
        <v>14576.60759</v>
      </c>
      <c r="J78" s="10">
        <f>IFERROR(HLOOKUP(J$74,[0]!data,MATCH("egzpd",Data!$J:$J,0)-4),0)</f>
        <v>14553.185160000001</v>
      </c>
      <c r="K78" s="20">
        <f t="shared" si="5"/>
        <v>-1.6068505552737644E-3</v>
      </c>
      <c r="L78" s="20">
        <f t="shared" si="6"/>
        <v>8.7789544488786397E-2</v>
      </c>
      <c r="M78" s="2"/>
      <c r="N78" s="2"/>
      <c r="O78" s="2"/>
      <c r="P78" s="2"/>
      <c r="Q78" s="2"/>
      <c r="R78" s="2"/>
      <c r="S78" s="2"/>
      <c r="T78" s="2"/>
      <c r="U78" s="2"/>
    </row>
    <row r="79" spans="1:21" ht="15" customHeight="1" x14ac:dyDescent="0.15">
      <c r="A79" s="2"/>
      <c r="B79" s="19" t="s">
        <v>32</v>
      </c>
      <c r="C79" s="10">
        <f>IFERROR(HLOOKUP(C$74,[0]!data,MATCH("eptpd",Data!$J:$J,0)-4),0)</f>
        <v>15</v>
      </c>
      <c r="D79" s="10">
        <f>IFERROR(HLOOKUP(D$74,[0]!data,MATCH("eptpd",Data!$J:$J,0)-4),0)</f>
        <v>618</v>
      </c>
      <c r="E79" s="10">
        <f>IFERROR(HLOOKUP(E$74,[0]!data,MATCH("eptpd",Data!$J:$J,0)-4),0)</f>
        <v>1873.7777799999999</v>
      </c>
      <c r="F79" s="10">
        <f>IFERROR(HLOOKUP(F$74,[0]!data,MATCH("eptpd",Data!$J:$J,0)-4),0)</f>
        <v>671.1</v>
      </c>
      <c r="G79" s="10">
        <f>IFERROR(HLOOKUP(G$74,[0]!data,MATCH("eptpd",Data!$J:$J,0)-4),0)</f>
        <v>267.3</v>
      </c>
      <c r="H79" s="10">
        <f>IFERROR(HLOOKUP(H$74,[0]!data,MATCH("eptpd",Data!$J:$J,0)-4),0)</f>
        <v>441.77300000000002</v>
      </c>
      <c r="I79" s="10">
        <f>IFERROR(HLOOKUP(I$74,[0]!data,MATCH("eptpd",Data!$J:$J,0)-4),0)</f>
        <v>232.99241000000001</v>
      </c>
      <c r="J79" s="10">
        <f>IFERROR(HLOOKUP(J$74,[0]!data,MATCH("eptpd",Data!$J:$J,0)-4),0)</f>
        <v>367.62466999999998</v>
      </c>
      <c r="K79" s="20">
        <f t="shared" si="5"/>
        <v>0.57783968155872523</v>
      </c>
      <c r="L79" s="20">
        <f t="shared" si="6"/>
        <v>-0.13969122586846239</v>
      </c>
      <c r="M79" s="2"/>
      <c r="N79" s="2"/>
      <c r="O79" s="2"/>
      <c r="P79" s="2"/>
      <c r="Q79" s="2"/>
      <c r="R79" s="2"/>
      <c r="S79" s="2"/>
      <c r="T79" s="2"/>
      <c r="U79" s="2"/>
    </row>
    <row r="80" spans="1:21" ht="15" customHeight="1" x14ac:dyDescent="0.15">
      <c r="A80" s="2"/>
      <c r="B80" s="19" t="s">
        <v>33</v>
      </c>
      <c r="C80" s="10">
        <f>IFERROR(HLOOKUP(C$74,[0]!data,MATCH("ebipd",Data!$J:$J,0)-4),0)</f>
        <v>0</v>
      </c>
      <c r="D80" s="10">
        <f>IFERROR(HLOOKUP(D$74,[0]!data,MATCH("ebipd",Data!$J:$J,0)-4),0)</f>
        <v>0</v>
      </c>
      <c r="E80" s="10">
        <f>IFERROR(HLOOKUP(E$74,[0]!data,MATCH("ebipd",Data!$J:$J,0)-4),0)</f>
        <v>0</v>
      </c>
      <c r="F80" s="10">
        <f>IFERROR(HLOOKUP(F$74,[0]!data,MATCH("ebipd",Data!$J:$J,0)-4),0)</f>
        <v>0</v>
      </c>
      <c r="G80" s="10">
        <f>IFERROR(HLOOKUP(G$74,[0]!data,MATCH("ebipd",Data!$J:$J,0)-4),0)</f>
        <v>0</v>
      </c>
      <c r="H80" s="10">
        <f>IFERROR(HLOOKUP(H$74,[0]!data,MATCH("ebipd",Data!$J:$J,0)-4),0)</f>
        <v>0</v>
      </c>
      <c r="I80" s="10">
        <f>IFERROR(HLOOKUP(I$74,[0]!data,MATCH("ebipd",Data!$J:$J,0)-4),0)</f>
        <v>0</v>
      </c>
      <c r="J80" s="10">
        <f>IFERROR(HLOOKUP(J$74,[0]!data,MATCH("ebipd",Data!$J:$J,0)-4),0)</f>
        <v>0</v>
      </c>
      <c r="K80" s="20" t="str">
        <f t="shared" si="5"/>
        <v/>
      </c>
      <c r="L80" s="20" t="str">
        <f t="shared" si="6"/>
        <v/>
      </c>
      <c r="M80" s="2"/>
      <c r="N80" s="2"/>
      <c r="O80" s="2"/>
      <c r="P80" s="2"/>
      <c r="Q80" s="2"/>
      <c r="R80" s="2"/>
      <c r="S80" s="2"/>
      <c r="T80" s="2"/>
      <c r="U80" s="2"/>
    </row>
    <row r="81" spans="1:21" ht="15" customHeight="1" x14ac:dyDescent="0.15">
      <c r="A81" s="2"/>
      <c r="B81" s="39" t="s">
        <v>35</v>
      </c>
      <c r="C81" s="38">
        <f>IFERROR(HLOOKUP(C$74,[0]!data,MATCH("enrpd",Data!$J:$J,0)-4),0)</f>
        <v>5801</v>
      </c>
      <c r="D81" s="38">
        <f>IFERROR(HLOOKUP(D$74,[0]!data,MATCH("enrpd",Data!$J:$J,0)-4),0)</f>
        <v>6606</v>
      </c>
      <c r="E81" s="38">
        <f>IFERROR(HLOOKUP(E$74,[0]!data,MATCH("enrpd",Data!$J:$J,0)-4),0)</f>
        <v>6996</v>
      </c>
      <c r="F81" s="38">
        <f>IFERROR(HLOOKUP(F$74,[0]!data,MATCH("enrpd",Data!$J:$J,0)-4),0)</f>
        <v>7303.4000000000015</v>
      </c>
      <c r="G81" s="38">
        <f>IFERROR(HLOOKUP(G$74,[0]!data,MATCH("enrpd",Data!$J:$J,0)-4),0)</f>
        <v>7350.0999999999985</v>
      </c>
      <c r="H81" s="38">
        <f>IFERROR(HLOOKUP(H$74,[0]!data,MATCH("enrpd",Data!$J:$J,0)-4),0)</f>
        <v>7643.0570000000007</v>
      </c>
      <c r="I81" s="38">
        <f>IFERROR(HLOOKUP(I$74,[0]!data,MATCH("enrpd",Data!$J:$J,0)-4),0)</f>
        <v>8353.4</v>
      </c>
      <c r="J81" s="38">
        <f>IFERROR(HLOOKUP(J$74,[0]!data,MATCH("enrpd",Data!$J:$J,0)-4),0)</f>
        <v>9334.3360200000006</v>
      </c>
      <c r="K81" s="46">
        <f t="shared" si="5"/>
        <v>0.11742955203869099</v>
      </c>
      <c r="L81" s="46">
        <f t="shared" si="6"/>
        <v>6.3260269102869193E-2</v>
      </c>
      <c r="M81" s="2"/>
      <c r="N81" s="2"/>
      <c r="O81" s="2"/>
      <c r="P81" s="2"/>
      <c r="Q81" s="2"/>
      <c r="R81" s="2"/>
      <c r="S81" s="2"/>
      <c r="T81" s="2"/>
      <c r="U81" s="2"/>
    </row>
    <row r="82" spans="1:21" ht="15" customHeight="1" x14ac:dyDescent="0.15">
      <c r="A82" s="2"/>
      <c r="B82" s="19" t="s">
        <v>36</v>
      </c>
      <c r="C82" s="10">
        <f>IFERROR(HLOOKUP(C$74,[0]!data,MATCH("ehypd",Data!$J:$J,0)-4),0)</f>
        <v>5801</v>
      </c>
      <c r="D82" s="10">
        <f>IFERROR(HLOOKUP(D$74,[0]!data,MATCH("ehypd",Data!$J:$J,0)-4),0)</f>
        <v>6606</v>
      </c>
      <c r="E82" s="10">
        <f>IFERROR(HLOOKUP(E$74,[0]!data,MATCH("ehypd",Data!$J:$J,0)-4),0)</f>
        <v>6996</v>
      </c>
      <c r="F82" s="10">
        <f>IFERROR(HLOOKUP(F$74,[0]!data,MATCH("ehypd",Data!$J:$J,0)-4),0)</f>
        <v>7251.6</v>
      </c>
      <c r="G82" s="10">
        <f>IFERROR(HLOOKUP(G$74,[0]!data,MATCH("ehypd",Data!$J:$J,0)-4),0)</f>
        <v>7293.2</v>
      </c>
      <c r="H82" s="10">
        <f>IFERROR(HLOOKUP(H$74,[0]!data,MATCH("ehypd",Data!$J:$J,0)-4),0)</f>
        <v>7520.8159999999998</v>
      </c>
      <c r="I82" s="10">
        <f>IFERROR(HLOOKUP(I$74,[0]!data,MATCH("ehypd",Data!$J:$J,0)-4),0)</f>
        <v>8191.9</v>
      </c>
      <c r="J82" s="10">
        <f>IFERROR(HLOOKUP(J$74,[0]!data,MATCH("ehypd",Data!$J:$J,0)-4),0)</f>
        <v>9186.5559599999997</v>
      </c>
      <c r="K82" s="20">
        <f t="shared" si="5"/>
        <v>0.12141944603815968</v>
      </c>
      <c r="L82" s="20">
        <f t="shared" si="6"/>
        <v>6.0912877945620725E-2</v>
      </c>
      <c r="M82" s="2"/>
      <c r="N82" s="2"/>
      <c r="O82" s="2"/>
      <c r="P82" s="2"/>
      <c r="Q82" s="2"/>
      <c r="R82" s="2"/>
      <c r="S82" s="2"/>
      <c r="T82" s="2"/>
      <c r="U82" s="2"/>
    </row>
    <row r="83" spans="1:21" ht="15" customHeight="1" x14ac:dyDescent="0.15">
      <c r="A83" s="2"/>
      <c r="B83" s="19" t="s">
        <v>37</v>
      </c>
      <c r="C83" s="10">
        <f>IFERROR(HLOOKUP(C$74,[0]!data,MATCH("eeopd",Data!$J:$J,0)-4),0)</f>
        <v>0</v>
      </c>
      <c r="D83" s="10">
        <f>IFERROR(HLOOKUP(D$74,[0]!data,MATCH("eeopd",Data!$J:$J,0)-4),0)</f>
        <v>0</v>
      </c>
      <c r="E83" s="10">
        <f>IFERROR(HLOOKUP(E$74,[0]!data,MATCH("eeopd",Data!$J:$J,0)-4),0)</f>
        <v>0</v>
      </c>
      <c r="F83" s="10">
        <f>IFERROR(HLOOKUP(F$74,[0]!data,MATCH("eeopd",Data!$J:$J,0)-4),0)</f>
        <v>0</v>
      </c>
      <c r="G83" s="10">
        <f>IFERROR(HLOOKUP(G$74,[0]!data,MATCH("eeopd",Data!$J:$J,0)-4),0)</f>
        <v>0</v>
      </c>
      <c r="H83" s="10">
        <f>IFERROR(HLOOKUP(H$74,[0]!data,MATCH("eeopd",Data!$J:$J,0)-4),0)</f>
        <v>0</v>
      </c>
      <c r="I83" s="10">
        <f>IFERROR(HLOOKUP(I$74,[0]!data,MATCH("eeopd",Data!$J:$J,0)-4),0)</f>
        <v>0</v>
      </c>
      <c r="J83" s="10">
        <f>IFERROR(HLOOKUP(J$74,[0]!data,MATCH("eeopd",Data!$J:$J,0)-4),0)</f>
        <v>0</v>
      </c>
      <c r="K83" s="20" t="str">
        <f t="shared" si="5"/>
        <v/>
      </c>
      <c r="L83" s="20" t="str">
        <f t="shared" si="6"/>
        <v/>
      </c>
      <c r="M83" s="2"/>
      <c r="N83" s="2"/>
      <c r="O83" s="2"/>
      <c r="P83" s="2"/>
      <c r="Q83" s="2"/>
      <c r="R83" s="2"/>
      <c r="S83" s="2"/>
      <c r="T83" s="2"/>
      <c r="U83" s="2"/>
    </row>
    <row r="84" spans="1:21" ht="15" customHeight="1" x14ac:dyDescent="0.15">
      <c r="A84" s="2"/>
      <c r="B84" s="19" t="s">
        <v>48</v>
      </c>
      <c r="C84" s="10">
        <f>IFERROR(HLOOKUP(C$74,[0]!data,MATCH("edvpd",Data!$J:$J,0)-4),0)</f>
        <v>0</v>
      </c>
      <c r="D84" s="10">
        <f>IFERROR(HLOOKUP(D$74,[0]!data,MATCH("edvpd",Data!$J:$J,0)-4),0)</f>
        <v>0</v>
      </c>
      <c r="E84" s="10">
        <f>IFERROR(HLOOKUP(E$74,[0]!data,MATCH("edvpd",Data!$J:$J,0)-4),0)</f>
        <v>0</v>
      </c>
      <c r="F84" s="10">
        <f>IFERROR(HLOOKUP(F$74,[0]!data,MATCH("edvpd",Data!$J:$J,0)-4),0)</f>
        <v>51.8</v>
      </c>
      <c r="G84" s="10">
        <f>IFERROR(HLOOKUP(G$74,[0]!data,MATCH("edvpd",Data!$J:$J,0)-4),0)</f>
        <v>56.9</v>
      </c>
      <c r="H84" s="10">
        <f>IFERROR(HLOOKUP(H$74,[0]!data,MATCH("edvpd",Data!$J:$J,0)-4),0)</f>
        <v>122.241</v>
      </c>
      <c r="I84" s="10">
        <f>IFERROR(HLOOKUP(I$74,[0]!data,MATCH("edvpd",Data!$J:$J,0)-4),0)</f>
        <v>161.5</v>
      </c>
      <c r="J84" s="10">
        <f>IFERROR(HLOOKUP(J$74,[0]!data,MATCH("edvpd",Data!$J:$J,0)-4),0)</f>
        <v>147.78005999999999</v>
      </c>
      <c r="K84" s="20">
        <f t="shared" si="5"/>
        <v>-8.4953188854489214E-2</v>
      </c>
      <c r="L84" s="20">
        <f t="shared" si="6"/>
        <v>0.29963536222433196</v>
      </c>
      <c r="M84" s="2"/>
      <c r="N84" s="2"/>
      <c r="O84" s="2"/>
      <c r="P84" s="2"/>
      <c r="Q84" s="2"/>
      <c r="R84" s="2"/>
      <c r="S84" s="2"/>
      <c r="T84" s="2"/>
      <c r="U84" s="2"/>
    </row>
    <row r="85" spans="1:21" ht="15" customHeight="1" x14ac:dyDescent="0.15">
      <c r="A85" s="2"/>
      <c r="B85" s="19" t="s">
        <v>39</v>
      </c>
      <c r="C85" s="10">
        <f>IFERROR(HLOOKUP(C$74,[0]!data,MATCH("enopd",Data!$J:$J,0)-4),0)</f>
        <v>0</v>
      </c>
      <c r="D85" s="10">
        <f>IFERROR(HLOOKUP(D$74,[0]!data,MATCH("enopd",Data!$J:$J,0)-4),0)</f>
        <v>0</v>
      </c>
      <c r="E85" s="10">
        <f>IFERROR(HLOOKUP(E$74,[0]!data,MATCH("enopd",Data!$J:$J,0)-4),0)</f>
        <v>0</v>
      </c>
      <c r="F85" s="10">
        <f>IFERROR(HLOOKUP(F$74,[0]!data,MATCH("enopd",Data!$J:$J,0)-4),0)</f>
        <v>1.0942358130705543E-12</v>
      </c>
      <c r="G85" s="10">
        <f>IFERROR(HLOOKUP(G$74,[0]!data,MATCH("enopd",Data!$J:$J,0)-4),0)</f>
        <v>0</v>
      </c>
      <c r="H85" s="10">
        <f>IFERROR(HLOOKUP(H$74,[0]!data,MATCH("enopd",Data!$J:$J,0)-4),0)</f>
        <v>8.9528384705772623E-13</v>
      </c>
      <c r="I85" s="10">
        <f>IFERROR(HLOOKUP(I$74,[0]!data,MATCH("enopd",Data!$J:$J,0)-4),0)</f>
        <v>0</v>
      </c>
      <c r="J85" s="10">
        <f>IFERROR(HLOOKUP(J$74,[0]!data,MATCH("enopd",Data!$J:$J,0)-4),0)</f>
        <v>9.6633812063373625E-13</v>
      </c>
      <c r="K85" s="20" t="str">
        <f t="shared" si="5"/>
        <v/>
      </c>
      <c r="L85" s="20">
        <f t="shared" si="6"/>
        <v>-3.0596581500390241E-2</v>
      </c>
      <c r="M85" s="2"/>
      <c r="N85" s="2"/>
      <c r="O85" s="2"/>
      <c r="P85" s="2"/>
      <c r="Q85" s="2"/>
      <c r="R85" s="2"/>
      <c r="S85" s="2"/>
      <c r="T85" s="2"/>
      <c r="U85" s="2"/>
    </row>
    <row r="86" spans="1:21" ht="15" customHeight="1" x14ac:dyDescent="0.15">
      <c r="A86" s="2"/>
      <c r="B86" s="15" t="s">
        <v>40</v>
      </c>
      <c r="C86" s="16">
        <f>IFERROR(HLOOKUP(C$74,[0]!data,MATCH("elepd",Data!$J:$J,0)-4),0)</f>
        <v>5816</v>
      </c>
      <c r="D86" s="16">
        <f>IFERROR(HLOOKUP(D$74,[0]!data,MATCH("elepd",Data!$J:$J,0)-4),0)</f>
        <v>7224</v>
      </c>
      <c r="E86" s="16">
        <f>IFERROR(HLOOKUP(E$74,[0]!data,MATCH("elepd",Data!$J:$J,0)-4),0)</f>
        <v>10167</v>
      </c>
      <c r="F86" s="16">
        <f>IFERROR(HLOOKUP(F$74,[0]!data,MATCH("elepd",Data!$J:$J,0)-4),0)</f>
        <v>18368.400000000001</v>
      </c>
      <c r="G86" s="16">
        <f>IFERROR(HLOOKUP(G$74,[0]!data,MATCH("elepd",Data!$J:$J,0)-4),0)</f>
        <v>20170.3</v>
      </c>
      <c r="H86" s="16">
        <f>IFERROR(HLOOKUP(H$74,[0]!data,MATCH("elepd",Data!$J:$J,0)-4),0)</f>
        <v>22050.77</v>
      </c>
      <c r="I86" s="16">
        <f>IFERROR(HLOOKUP(I$74,[0]!data,MATCH("elepd",Data!$J:$J,0)-4),0)</f>
        <v>23163</v>
      </c>
      <c r="J86" s="16">
        <f>IFERROR(HLOOKUP(J$74,[0]!data,MATCH("elepd",Data!$J:$J,0)-4),0)</f>
        <v>24255.145850000001</v>
      </c>
      <c r="K86" s="21">
        <f t="shared" si="5"/>
        <v>4.7150448991926774E-2</v>
      </c>
      <c r="L86" s="21">
        <f t="shared" si="6"/>
        <v>7.1971256681661266E-2</v>
      </c>
      <c r="M86" s="2"/>
      <c r="N86" s="2"/>
      <c r="O86" s="2"/>
      <c r="P86" s="2"/>
      <c r="Q86" s="2"/>
      <c r="R86" s="2"/>
      <c r="S86" s="2"/>
      <c r="T86" s="2"/>
      <c r="U86" s="2"/>
    </row>
    <row r="87" spans="1:21" ht="15" customHeight="1" x14ac:dyDescent="0.15">
      <c r="A87" s="2"/>
      <c r="B87" s="5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34.5" customHeight="1" x14ac:dyDescent="0.15">
      <c r="A88" s="2"/>
      <c r="B88" s="6" t="s">
        <v>49</v>
      </c>
      <c r="C88" s="7">
        <v>1990</v>
      </c>
      <c r="D88" s="7">
        <v>2000</v>
      </c>
      <c r="E88" s="7">
        <v>2010</v>
      </c>
      <c r="F88" s="7">
        <f>J88-4</f>
        <v>2019</v>
      </c>
      <c r="G88" s="7">
        <f>J88-3</f>
        <v>2020</v>
      </c>
      <c r="H88" s="7">
        <f>J88-2</f>
        <v>2021</v>
      </c>
      <c r="I88" s="7">
        <f>J88-1</f>
        <v>2022</v>
      </c>
      <c r="J88" s="7">
        <f>Data!$B$2</f>
        <v>2023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5" customHeight="1" x14ac:dyDescent="0.15">
      <c r="A89" s="2"/>
      <c r="B89" s="4" t="s">
        <v>28</v>
      </c>
      <c r="C89" s="47">
        <f>+C75/C$86</f>
        <v>0</v>
      </c>
      <c r="D89" s="47">
        <f t="shared" ref="D89:J89" si="7">+D75/D$86</f>
        <v>0</v>
      </c>
      <c r="E89" s="47">
        <f t="shared" si="7"/>
        <v>0</v>
      </c>
      <c r="F89" s="47">
        <f t="shared" si="7"/>
        <v>0</v>
      </c>
      <c r="G89" s="47">
        <f t="shared" si="7"/>
        <v>0</v>
      </c>
      <c r="H89" s="47">
        <f t="shared" si="7"/>
        <v>0</v>
      </c>
      <c r="I89" s="47">
        <f t="shared" si="7"/>
        <v>0</v>
      </c>
      <c r="J89" s="47">
        <f t="shared" si="7"/>
        <v>0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5" customHeight="1" x14ac:dyDescent="0.15">
      <c r="A90" s="2"/>
      <c r="B90" s="39" t="s">
        <v>29</v>
      </c>
      <c r="C90" s="48">
        <f>+C76/C$86</f>
        <v>2.5790921595598348E-3</v>
      </c>
      <c r="D90" s="48">
        <f t="shared" ref="C90:J100" si="8">+D76/D$86</f>
        <v>8.5548172757475088E-2</v>
      </c>
      <c r="E90" s="48">
        <f t="shared" si="8"/>
        <v>0.31189141339628207</v>
      </c>
      <c r="F90" s="48">
        <f t="shared" si="8"/>
        <v>0.60239324056531862</v>
      </c>
      <c r="G90" s="48">
        <f t="shared" si="8"/>
        <v>0.63559788401759032</v>
      </c>
      <c r="H90" s="48">
        <f t="shared" si="8"/>
        <v>0.65338820367724115</v>
      </c>
      <c r="I90" s="48">
        <f t="shared" si="8"/>
        <v>0.63936450373440401</v>
      </c>
      <c r="J90" s="48">
        <f t="shared" si="8"/>
        <v>0.6151605899331255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5" customHeight="1" x14ac:dyDescent="0.15">
      <c r="A91" s="2"/>
      <c r="B91" s="19" t="s">
        <v>30</v>
      </c>
      <c r="C91" s="47">
        <f>+C77/C$86</f>
        <v>0</v>
      </c>
      <c r="D91" s="47">
        <f t="shared" si="8"/>
        <v>0</v>
      </c>
      <c r="E91" s="47">
        <f t="shared" si="8"/>
        <v>0</v>
      </c>
      <c r="F91" s="47">
        <f t="shared" si="8"/>
        <v>0</v>
      </c>
      <c r="G91" s="47">
        <f t="shared" si="8"/>
        <v>0</v>
      </c>
      <c r="H91" s="47">
        <f t="shared" si="8"/>
        <v>0</v>
      </c>
      <c r="I91" s="47">
        <f t="shared" si="8"/>
        <v>0</v>
      </c>
      <c r="J91" s="47">
        <f t="shared" si="8"/>
        <v>0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5" customHeight="1" x14ac:dyDescent="0.15">
      <c r="A92" s="2"/>
      <c r="B92" s="19" t="s">
        <v>31</v>
      </c>
      <c r="C92" s="47">
        <f>+C78/C$86</f>
        <v>0</v>
      </c>
      <c r="D92" s="47">
        <f t="shared" si="8"/>
        <v>0</v>
      </c>
      <c r="E92" s="47">
        <f t="shared" si="8"/>
        <v>0.12759144487065999</v>
      </c>
      <c r="F92" s="47">
        <f t="shared" si="8"/>
        <v>0.56585766860477771</v>
      </c>
      <c r="G92" s="47">
        <f t="shared" si="8"/>
        <v>0.62234572614190176</v>
      </c>
      <c r="H92" s="47">
        <f t="shared" si="8"/>
        <v>0.6333538466003682</v>
      </c>
      <c r="I92" s="47">
        <f t="shared" si="8"/>
        <v>0.62930568536027287</v>
      </c>
      <c r="J92" s="47">
        <f t="shared" si="8"/>
        <v>0.60000402594981717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5" customHeight="1" x14ac:dyDescent="0.15">
      <c r="A93" s="2"/>
      <c r="B93" s="19" t="s">
        <v>32</v>
      </c>
      <c r="C93" s="47">
        <f>+C79/C$86</f>
        <v>2.5790921595598348E-3</v>
      </c>
      <c r="D93" s="47">
        <f t="shared" si="8"/>
        <v>8.5548172757475088E-2</v>
      </c>
      <c r="E93" s="47">
        <f t="shared" si="8"/>
        <v>0.18429996852562211</v>
      </c>
      <c r="F93" s="47">
        <f t="shared" si="8"/>
        <v>3.6535571960540927E-2</v>
      </c>
      <c r="G93" s="47">
        <f t="shared" si="8"/>
        <v>1.3252157875688514E-2</v>
      </c>
      <c r="H93" s="47">
        <f t="shared" si="8"/>
        <v>2.0034357076873052E-2</v>
      </c>
      <c r="I93" s="47">
        <f t="shared" si="8"/>
        <v>1.0058818374131157E-2</v>
      </c>
      <c r="J93" s="47">
        <f t="shared" si="8"/>
        <v>1.5156563983308308E-2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5" customHeight="1" x14ac:dyDescent="0.15">
      <c r="A94" s="2"/>
      <c r="B94" s="19" t="s">
        <v>33</v>
      </c>
      <c r="C94" s="47">
        <f t="shared" si="8"/>
        <v>0</v>
      </c>
      <c r="D94" s="47">
        <f t="shared" si="8"/>
        <v>0</v>
      </c>
      <c r="E94" s="47">
        <f t="shared" si="8"/>
        <v>0</v>
      </c>
      <c r="F94" s="47">
        <f t="shared" si="8"/>
        <v>0</v>
      </c>
      <c r="G94" s="47">
        <f t="shared" si="8"/>
        <v>0</v>
      </c>
      <c r="H94" s="47">
        <f t="shared" si="8"/>
        <v>0</v>
      </c>
      <c r="I94" s="47">
        <f t="shared" si="8"/>
        <v>0</v>
      </c>
      <c r="J94" s="47">
        <f t="shared" si="8"/>
        <v>0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5" customHeight="1" x14ac:dyDescent="0.15">
      <c r="A95" s="2"/>
      <c r="B95" s="39" t="s">
        <v>35</v>
      </c>
      <c r="C95" s="48">
        <f t="shared" si="8"/>
        <v>0.99742090784044013</v>
      </c>
      <c r="D95" s="48">
        <f t="shared" si="8"/>
        <v>0.91445182724252494</v>
      </c>
      <c r="E95" s="48">
        <f t="shared" si="8"/>
        <v>0.68810858660371788</v>
      </c>
      <c r="F95" s="48">
        <f t="shared" si="8"/>
        <v>0.39760675943468132</v>
      </c>
      <c r="G95" s="48">
        <f t="shared" si="8"/>
        <v>0.36440211598240974</v>
      </c>
      <c r="H95" s="48">
        <f t="shared" si="8"/>
        <v>0.34661179632275885</v>
      </c>
      <c r="I95" s="48">
        <f t="shared" si="8"/>
        <v>0.36063549626559599</v>
      </c>
      <c r="J95" s="48">
        <f t="shared" si="8"/>
        <v>0.38483941006687455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5" customHeight="1" x14ac:dyDescent="0.15">
      <c r="A96" s="2"/>
      <c r="B96" s="19" t="s">
        <v>36</v>
      </c>
      <c r="C96" s="47">
        <f t="shared" si="8"/>
        <v>0.99742090784044013</v>
      </c>
      <c r="D96" s="47">
        <f t="shared" si="8"/>
        <v>0.91445182724252494</v>
      </c>
      <c r="E96" s="47">
        <f t="shared" si="8"/>
        <v>0.68810858660371788</v>
      </c>
      <c r="F96" s="47">
        <f t="shared" si="8"/>
        <v>0.39478669889592993</v>
      </c>
      <c r="G96" s="47">
        <f t="shared" si="8"/>
        <v>0.36158113662166652</v>
      </c>
      <c r="H96" s="47">
        <f t="shared" si="8"/>
        <v>0.34106818038553754</v>
      </c>
      <c r="I96" s="47">
        <f t="shared" si="8"/>
        <v>0.35366316971031386</v>
      </c>
      <c r="J96" s="47">
        <f t="shared" si="8"/>
        <v>0.37874667985144272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3" ht="15" customHeight="1" x14ac:dyDescent="0.15">
      <c r="A97" s="2"/>
      <c r="B97" s="19" t="s">
        <v>37</v>
      </c>
      <c r="C97" s="47">
        <f t="shared" si="8"/>
        <v>0</v>
      </c>
      <c r="D97" s="47">
        <f t="shared" si="8"/>
        <v>0</v>
      </c>
      <c r="E97" s="47">
        <f t="shared" si="8"/>
        <v>0</v>
      </c>
      <c r="F97" s="47">
        <f t="shared" si="8"/>
        <v>0</v>
      </c>
      <c r="G97" s="47">
        <f t="shared" si="8"/>
        <v>0</v>
      </c>
      <c r="H97" s="47">
        <f t="shared" si="8"/>
        <v>0</v>
      </c>
      <c r="I97" s="47">
        <f t="shared" si="8"/>
        <v>0</v>
      </c>
      <c r="J97" s="47">
        <f t="shared" si="8"/>
        <v>0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3" ht="15" customHeight="1" x14ac:dyDescent="0.15">
      <c r="A98" s="2"/>
      <c r="B98" s="19" t="s">
        <v>48</v>
      </c>
      <c r="C98" s="47">
        <f t="shared" si="8"/>
        <v>0</v>
      </c>
      <c r="D98" s="47">
        <f t="shared" si="8"/>
        <v>0</v>
      </c>
      <c r="E98" s="47">
        <f t="shared" si="8"/>
        <v>0</v>
      </c>
      <c r="F98" s="47">
        <f t="shared" si="8"/>
        <v>2.8200605387513336E-3</v>
      </c>
      <c r="G98" s="47">
        <f t="shared" si="8"/>
        <v>2.8209793607432711E-3</v>
      </c>
      <c r="H98" s="47">
        <f t="shared" si="8"/>
        <v>5.5436159372212399E-3</v>
      </c>
      <c r="I98" s="47">
        <f t="shared" si="8"/>
        <v>6.9723265552821311E-3</v>
      </c>
      <c r="J98" s="47">
        <f t="shared" si="8"/>
        <v>6.0927302154317898E-3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3" ht="15" customHeight="1" x14ac:dyDescent="0.15">
      <c r="A99" s="2"/>
      <c r="B99" s="19" t="s">
        <v>39</v>
      </c>
      <c r="C99" s="47">
        <f t="shared" si="8"/>
        <v>0</v>
      </c>
      <c r="D99" s="47">
        <f t="shared" si="8"/>
        <v>0</v>
      </c>
      <c r="E99" s="47">
        <f t="shared" si="8"/>
        <v>0</v>
      </c>
      <c r="F99" s="47">
        <f t="shared" si="8"/>
        <v>5.9571645492833023E-17</v>
      </c>
      <c r="G99" s="47">
        <f t="shared" si="8"/>
        <v>0</v>
      </c>
      <c r="H99" s="47">
        <f t="shared" si="8"/>
        <v>4.0601024229889761E-17</v>
      </c>
      <c r="I99" s="47">
        <f t="shared" si="8"/>
        <v>0</v>
      </c>
      <c r="J99" s="47">
        <f t="shared" si="8"/>
        <v>3.9840540502614053E-17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3" ht="15" customHeight="1" x14ac:dyDescent="0.15">
      <c r="A100" s="2"/>
      <c r="B100" s="15" t="s">
        <v>40</v>
      </c>
      <c r="C100" s="49">
        <f t="shared" si="8"/>
        <v>1</v>
      </c>
      <c r="D100" s="49">
        <f t="shared" si="8"/>
        <v>1</v>
      </c>
      <c r="E100" s="49">
        <f t="shared" si="8"/>
        <v>1</v>
      </c>
      <c r="F100" s="49">
        <f t="shared" si="8"/>
        <v>1</v>
      </c>
      <c r="G100" s="49">
        <f t="shared" si="8"/>
        <v>1</v>
      </c>
      <c r="H100" s="49">
        <f t="shared" si="8"/>
        <v>1</v>
      </c>
      <c r="I100" s="49">
        <f t="shared" si="8"/>
        <v>1</v>
      </c>
      <c r="J100" s="49">
        <f t="shared" si="8"/>
        <v>1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3" ht="15" customHeight="1" x14ac:dyDescent="0.15">
      <c r="A101" s="2"/>
      <c r="B101" s="5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3" ht="20.100000000000001" customHeight="1" x14ac:dyDescent="0.15">
      <c r="A102" s="2"/>
      <c r="B102" s="1" t="s">
        <v>52</v>
      </c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N102" s="2"/>
      <c r="O102" s="2"/>
      <c r="P102" s="2"/>
      <c r="Q102" s="2"/>
      <c r="R102" s="2"/>
      <c r="S102" s="2"/>
      <c r="T102" s="2"/>
      <c r="U102" s="2"/>
    </row>
    <row r="103" spans="1:23" ht="15" customHeight="1" x14ac:dyDescent="0.15">
      <c r="A103" s="2"/>
      <c r="B103" s="5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" customHeight="1" x14ac:dyDescent="0.15">
      <c r="A104" s="2"/>
      <c r="B104" s="22" t="s">
        <v>53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" customHeight="1" x14ac:dyDescent="0.15">
      <c r="A105" s="2"/>
      <c r="B105" s="45" t="s">
        <v>54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3" ht="15" customHeight="1" x14ac:dyDescent="0.15">
      <c r="A106" s="2"/>
      <c r="B106" s="5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3" ht="15" customHeight="1" x14ac:dyDescent="0.15">
      <c r="A107" s="2"/>
      <c r="B107" s="5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3" ht="15" customHeight="1" x14ac:dyDescent="0.15">
      <c r="A108" s="2"/>
      <c r="B108" s="5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3" ht="15" customHeight="1" x14ac:dyDescent="0.15">
      <c r="A109" s="2"/>
      <c r="B109" s="5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3" ht="15" customHeight="1" x14ac:dyDescent="0.15">
      <c r="A110" s="2"/>
      <c r="B110" s="5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3" ht="15" customHeight="1" x14ac:dyDescent="0.15">
      <c r="A111" s="2"/>
      <c r="B111" s="5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3" ht="15" customHeight="1" x14ac:dyDescent="0.15">
      <c r="A112" s="2"/>
      <c r="B112" s="5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5" customHeight="1" x14ac:dyDescent="0.15">
      <c r="A113" s="2"/>
      <c r="B113" s="5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5" customHeight="1" x14ac:dyDescent="0.15">
      <c r="A114" s="2"/>
      <c r="B114" s="5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5" customHeight="1" x14ac:dyDescent="0.15">
      <c r="A115" s="2"/>
      <c r="B115" s="5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5" customHeight="1" x14ac:dyDescent="0.15">
      <c r="A116" s="2"/>
      <c r="B116" s="5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5" customHeight="1" x14ac:dyDescent="0.15">
      <c r="A117" s="2"/>
      <c r="B117" s="5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5" customHeight="1" x14ac:dyDescent="0.15">
      <c r="A118" s="2"/>
      <c r="B118" s="5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5" customHeight="1" x14ac:dyDescent="0.15">
      <c r="A119" s="2"/>
      <c r="B119" s="5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5" customHeight="1" x14ac:dyDescent="0.15">
      <c r="A120" s="2"/>
      <c r="B120" s="5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5" customHeight="1" x14ac:dyDescent="0.15">
      <c r="A121" s="2"/>
      <c r="B121" s="5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5" customHeight="1" x14ac:dyDescent="0.15">
      <c r="A122" s="2"/>
      <c r="B122" s="5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5" customHeight="1" x14ac:dyDescent="0.15">
      <c r="A123" s="2"/>
      <c r="B123" s="5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34.5" customHeight="1" x14ac:dyDescent="0.15">
      <c r="A124" s="2"/>
      <c r="B124" s="6" t="s">
        <v>55</v>
      </c>
      <c r="C124" s="7">
        <v>1990</v>
      </c>
      <c r="D124" s="7">
        <v>2000</v>
      </c>
      <c r="E124" s="7">
        <v>2010</v>
      </c>
      <c r="F124" s="7">
        <f>J124-4</f>
        <v>2019</v>
      </c>
      <c r="G124" s="7">
        <f>J124-3</f>
        <v>2020</v>
      </c>
      <c r="H124" s="7">
        <f>J124-2</f>
        <v>2021</v>
      </c>
      <c r="I124" s="7">
        <f>J124-1</f>
        <v>2022</v>
      </c>
      <c r="J124" s="7">
        <f>Data!$B$2</f>
        <v>2023</v>
      </c>
      <c r="K124" s="17" t="str">
        <f>I124&amp;"/"&amp;J124&amp;" (%)"</f>
        <v>2022/2023 (%)</v>
      </c>
      <c r="L124" s="18" t="str">
        <f>"CAGR "&amp;F124&amp;"/"&amp;J124&amp;" (%)"</f>
        <v>CAGR 2019/2023 (%)</v>
      </c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5" customHeight="1" x14ac:dyDescent="0.15">
      <c r="A125" s="2"/>
      <c r="B125" s="15" t="s">
        <v>40</v>
      </c>
      <c r="C125" s="16">
        <f>IFERROR(HLOOKUP(C$124,[0]!data,MATCH("totie",Data!$J:$J,0)-4),0)</f>
        <v>6.9480000000000004</v>
      </c>
      <c r="D125" s="16">
        <f>IFERROR(HLOOKUP(D$124,[0]!data,MATCH("totie",Data!$J:$J,0)-4),0)</f>
        <v>186.3</v>
      </c>
      <c r="E125" s="16">
        <f>IFERROR(HLOOKUP(E$124,[0]!data,MATCH("totie",Data!$J:$J,0)-4),0)</f>
        <v>937.56808999999998</v>
      </c>
      <c r="F125" s="16">
        <f>IFERROR(HLOOKUP(F$124,[0]!data,MATCH("totie",Data!$J:$J,0)-4),0)</f>
        <v>1881.4108000000001</v>
      </c>
      <c r="G125" s="16">
        <f>IFERROR(HLOOKUP(G$124,[0]!data,MATCH("totie",Data!$J:$J,0)-4),0)</f>
        <v>2569.3715499999998</v>
      </c>
      <c r="H125" s="16">
        <f>IFERROR(HLOOKUP(H$124,[0]!data,MATCH("totie",Data!$J:$J,0)-4),0)</f>
        <v>2600.6674800000001</v>
      </c>
      <c r="I125" s="16">
        <f>IFERROR(HLOOKUP(I$124,[0]!data,MATCH("totie",Data!$J:$J,0)-4),0)</f>
        <v>2733.4755800000003</v>
      </c>
      <c r="J125" s="16">
        <f>IFERROR(HLOOKUP(J$124,[0]!data,MATCH("totie",Data!$J:$J,0)-4),0)</f>
        <v>2748.1172700000002</v>
      </c>
      <c r="K125" s="21">
        <f>IFERROR((J125/I125)-1,"")</f>
        <v>5.3564370968333108E-3</v>
      </c>
      <c r="L125" s="21">
        <f>IFERROR(POWER(J125/F125,1/(J$26-F$26))-1,"")</f>
        <v>9.9354876437574013E-2</v>
      </c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5" customHeight="1" x14ac:dyDescent="0.15">
      <c r="A126" s="2"/>
      <c r="B126" s="19" t="s">
        <v>30</v>
      </c>
      <c r="C126" s="10">
        <f>IFERROR(HLOOKUP(C$124,[0]!data,MATCH("cmsie",Data!$J:$J,0)-4),0)</f>
        <v>0</v>
      </c>
      <c r="D126" s="10">
        <f>IFERROR(HLOOKUP(D$124,[0]!data,MATCH("cmsie",Data!$J:$J,0)-4),0)</f>
        <v>0</v>
      </c>
      <c r="E126" s="10">
        <f>IFERROR(HLOOKUP(E$124,[0]!data,MATCH("cmsie",Data!$J:$J,0)-4),0)</f>
        <v>0</v>
      </c>
      <c r="F126" s="10">
        <f>IFERROR(HLOOKUP(F$124,[0]!data,MATCH("cmsie",Data!$J:$J,0)-4),0)</f>
        <v>0</v>
      </c>
      <c r="G126" s="10">
        <f>IFERROR(HLOOKUP(G$124,[0]!data,MATCH("cmsie",Data!$J:$J,0)-4),0)</f>
        <v>0</v>
      </c>
      <c r="H126" s="10">
        <f>IFERROR(HLOOKUP(H$124,[0]!data,MATCH("cmsie",Data!$J:$J,0)-4),0)</f>
        <v>0</v>
      </c>
      <c r="I126" s="10">
        <f>IFERROR(HLOOKUP(I$124,[0]!data,MATCH("cmsie",Data!$J:$J,0)-4),0)</f>
        <v>0</v>
      </c>
      <c r="J126" s="10">
        <f>IFERROR(HLOOKUP(J$124,[0]!data,MATCH("cmsie",Data!$J:$J,0)-4),0)</f>
        <v>0</v>
      </c>
      <c r="K126" s="24" t="str">
        <f t="shared" ref="K126:K129" si="9">IFERROR((J126/I126)-1,"")</f>
        <v/>
      </c>
      <c r="L126" s="24" t="str">
        <f t="shared" ref="L126:L129" si="10">IFERROR(POWER(J126/F126,1/(J$26-F$26))-1,"")</f>
        <v/>
      </c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5" customHeight="1" x14ac:dyDescent="0.15">
      <c r="A127" s="2"/>
      <c r="B127" s="19" t="s">
        <v>31</v>
      </c>
      <c r="C127" s="10">
        <f>IFERROR(HLOOKUP(C$124,[0]!data,MATCH("gazie",Data!$J:$J,0)-4),0)</f>
        <v>0</v>
      </c>
      <c r="D127" s="10">
        <f>IFERROR(HLOOKUP(D$124,[0]!data,MATCH("gazie",Data!$J:$J,0)-4),0)</f>
        <v>0</v>
      </c>
      <c r="E127" s="10">
        <f>IFERROR(HLOOKUP(E$124,[0]!data,MATCH("gazie",Data!$J:$J,0)-4),0)</f>
        <v>223.05808999999999</v>
      </c>
      <c r="F127" s="10">
        <f>IFERROR(HLOOKUP(F$124,[0]!data,MATCH("gazie",Data!$J:$J,0)-4),0)</f>
        <v>1687.41111</v>
      </c>
      <c r="G127" s="10">
        <f>IFERROR(HLOOKUP(G$124,[0]!data,MATCH("gazie",Data!$J:$J,0)-4),0)</f>
        <v>2487.6635799999999</v>
      </c>
      <c r="H127" s="10">
        <f>IFERROR(HLOOKUP(H$124,[0]!data,MATCH("gazie",Data!$J:$J,0)-4),0)</f>
        <v>2470.1863600000001</v>
      </c>
      <c r="I127" s="10">
        <f>IFERROR(HLOOKUP(I$124,[0]!data,MATCH("gazie",Data!$J:$J,0)-4),0)</f>
        <v>2664.2444700000001</v>
      </c>
      <c r="J127" s="10">
        <f>IFERROR(HLOOKUP(J$124,[0]!data,MATCH("gazie",Data!$J:$J,0)-4),0)</f>
        <v>2637.2118300000002</v>
      </c>
      <c r="K127" s="24">
        <f t="shared" si="9"/>
        <v>-1.0146456267205783E-2</v>
      </c>
      <c r="L127" s="24">
        <f t="shared" si="10"/>
        <v>0.11810097905320815</v>
      </c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5" customHeight="1" x14ac:dyDescent="0.15">
      <c r="A128" s="2"/>
      <c r="B128" s="19" t="s">
        <v>32</v>
      </c>
      <c r="C128" s="10">
        <f>IFERROR(HLOOKUP(C$124,[0]!data,MATCH("petie",Data!$J:$J,0)-4),0)</f>
        <v>6.9480000000000004</v>
      </c>
      <c r="D128" s="10">
        <f>IFERROR(HLOOKUP(D$124,[0]!data,MATCH("petie",Data!$J:$J,0)-4),0)</f>
        <v>186.3</v>
      </c>
      <c r="E128" s="10">
        <f>IFERROR(HLOOKUP(E$124,[0]!data,MATCH("petie",Data!$J:$J,0)-4),0)</f>
        <v>714.51</v>
      </c>
      <c r="F128" s="10">
        <f>IFERROR(HLOOKUP(F$124,[0]!data,MATCH("petie",Data!$J:$J,0)-4),0)</f>
        <v>193.99968999999999</v>
      </c>
      <c r="G128" s="10">
        <f>IFERROR(HLOOKUP(G$124,[0]!data,MATCH("petie",Data!$J:$J,0)-4),0)</f>
        <v>81.707970000000003</v>
      </c>
      <c r="H128" s="10">
        <f>IFERROR(HLOOKUP(H$124,[0]!data,MATCH("petie",Data!$J:$J,0)-4),0)</f>
        <v>130.48112</v>
      </c>
      <c r="I128" s="10">
        <f>IFERROR(HLOOKUP(I$124,[0]!data,MATCH("petie",Data!$J:$J,0)-4),0)</f>
        <v>69.231110000000001</v>
      </c>
      <c r="J128" s="10">
        <f>IFERROR(HLOOKUP(J$124,[0]!data,MATCH("petie",Data!$J:$J,0)-4),0)</f>
        <v>110.90544</v>
      </c>
      <c r="K128" s="24">
        <f t="shared" si="9"/>
        <v>0.60195958146561557</v>
      </c>
      <c r="L128" s="24">
        <f t="shared" si="10"/>
        <v>-0.13046322676715227</v>
      </c>
      <c r="M128" s="2"/>
      <c r="N128" s="2"/>
      <c r="O128" s="2"/>
      <c r="P128" s="2"/>
      <c r="Q128" s="2"/>
      <c r="R128" s="2"/>
      <c r="S128" s="2"/>
      <c r="T128" s="2"/>
      <c r="U128" s="2"/>
    </row>
    <row r="129" spans="1:23" ht="15" customHeight="1" x14ac:dyDescent="0.15">
      <c r="A129" s="2"/>
      <c r="B129" s="19" t="s">
        <v>33</v>
      </c>
      <c r="C129" s="10">
        <f>IFERROR(HLOOKUP(C$124,[0]!data,MATCH("encie",Data!$J:$J,0)-4),0)</f>
        <v>0</v>
      </c>
      <c r="D129" s="10">
        <f>IFERROR(HLOOKUP(D$124,[0]!data,MATCH("encie",Data!$J:$J,0)-4),0)</f>
        <v>0</v>
      </c>
      <c r="E129" s="10">
        <f>IFERROR(HLOOKUP(E$124,[0]!data,MATCH("encie",Data!$J:$J,0)-4),0)</f>
        <v>0</v>
      </c>
      <c r="F129" s="10">
        <f>IFERROR(HLOOKUP(F$124,[0]!data,MATCH("encie",Data!$J:$J,0)-4),0)</f>
        <v>0</v>
      </c>
      <c r="G129" s="10">
        <f>IFERROR(HLOOKUP(G$124,[0]!data,MATCH("encie",Data!$J:$J,0)-4),0)</f>
        <v>0</v>
      </c>
      <c r="H129" s="10">
        <f>IFERROR(HLOOKUP(H$124,[0]!data,MATCH("encie",Data!$J:$J,0)-4),0)</f>
        <v>0</v>
      </c>
      <c r="I129" s="10">
        <f>IFERROR(HLOOKUP(I$124,[0]!data,MATCH("encie",Data!$J:$J,0)-4),0)</f>
        <v>0</v>
      </c>
      <c r="J129" s="10">
        <f>IFERROR(HLOOKUP(J$124,[0]!data,MATCH("encie",Data!$J:$J,0)-4),0)</f>
        <v>0</v>
      </c>
      <c r="K129" s="24" t="str">
        <f t="shared" si="9"/>
        <v/>
      </c>
      <c r="L129" s="24" t="str">
        <f t="shared" si="10"/>
        <v/>
      </c>
      <c r="M129" s="2"/>
      <c r="N129" s="2"/>
      <c r="O129" s="2"/>
      <c r="P129" s="2"/>
      <c r="Q129" s="2"/>
      <c r="R129" s="2"/>
      <c r="S129" s="2"/>
      <c r="T129" s="2"/>
      <c r="U129" s="2"/>
    </row>
    <row r="130" spans="1:23" ht="15" customHeight="1" x14ac:dyDescent="0.15">
      <c r="A130" s="2"/>
      <c r="B130" s="5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3" ht="15" customHeight="1" x14ac:dyDescent="0.15">
      <c r="A131" s="2"/>
      <c r="B131" s="22" t="s">
        <v>56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" customHeight="1" x14ac:dyDescent="0.15">
      <c r="A132" s="2"/>
      <c r="B132" s="5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3" ht="15" customHeight="1" x14ac:dyDescent="0.15">
      <c r="A133" s="2"/>
      <c r="B133" s="5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3" ht="15" customHeight="1" x14ac:dyDescent="0.15">
      <c r="A134" s="2"/>
      <c r="B134" s="5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3" ht="15" customHeight="1" x14ac:dyDescent="0.15">
      <c r="A135" s="2"/>
      <c r="B135" s="5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3" ht="15" customHeight="1" x14ac:dyDescent="0.15">
      <c r="A136" s="2"/>
      <c r="B136" s="5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3" ht="15" customHeight="1" x14ac:dyDescent="0.15">
      <c r="A137" s="2"/>
      <c r="B137" s="5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3" ht="15" customHeight="1" x14ac:dyDescent="0.15">
      <c r="A138" s="2"/>
      <c r="B138" s="5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3" ht="15" customHeight="1" x14ac:dyDescent="0.15">
      <c r="A139" s="2"/>
      <c r="B139" s="5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3" ht="15" customHeight="1" x14ac:dyDescent="0.15">
      <c r="A140" s="2"/>
      <c r="B140" s="5"/>
      <c r="C140" s="2"/>
      <c r="D140" s="2"/>
      <c r="E140" s="2"/>
      <c r="F140" s="2"/>
      <c r="G140" s="2"/>
      <c r="H140" s="2"/>
      <c r="I140" s="2"/>
      <c r="J140" s="2"/>
      <c r="K140" s="2"/>
      <c r="L140" s="2"/>
      <c r="N140" s="2"/>
      <c r="O140" s="2"/>
      <c r="P140" s="2"/>
      <c r="Q140" s="2"/>
      <c r="R140" s="2"/>
      <c r="S140" s="2"/>
      <c r="T140" s="2"/>
      <c r="U140" s="2"/>
    </row>
    <row r="141" spans="1:23" ht="15" customHeight="1" x14ac:dyDescent="0.15">
      <c r="A141" s="2"/>
      <c r="B141" s="5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3" ht="15" customHeight="1" x14ac:dyDescent="0.15">
      <c r="A142" s="2"/>
      <c r="B142" s="5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3" ht="15" customHeight="1" x14ac:dyDescent="0.15">
      <c r="A143" s="2"/>
      <c r="B143" s="5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3" ht="15" customHeight="1" x14ac:dyDescent="0.15">
      <c r="A144" s="2"/>
      <c r="B144" s="5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3" ht="15" customHeight="1" x14ac:dyDescent="0.15">
      <c r="A145" s="2"/>
      <c r="B145" s="5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3" ht="15" customHeight="1" x14ac:dyDescent="0.15">
      <c r="A146" s="2"/>
      <c r="B146" s="5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3" ht="15" customHeight="1" x14ac:dyDescent="0.15">
      <c r="A147" s="2"/>
      <c r="B147" s="5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3" ht="15" customHeight="1" x14ac:dyDescent="0.15">
      <c r="A148" s="2"/>
      <c r="B148" s="5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3" ht="15" customHeight="1" x14ac:dyDescent="0.15">
      <c r="A149" s="2"/>
      <c r="B149" s="5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3" ht="15" customHeight="1" x14ac:dyDescent="0.15">
      <c r="A150" s="2"/>
      <c r="B150" s="5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3" ht="34.5" customHeight="1" x14ac:dyDescent="0.15">
      <c r="A151" s="2"/>
      <c r="B151" s="6" t="s">
        <v>57</v>
      </c>
      <c r="C151" s="7">
        <v>1990</v>
      </c>
      <c r="D151" s="7">
        <v>2000</v>
      </c>
      <c r="E151" s="7">
        <v>2010</v>
      </c>
      <c r="F151" s="7">
        <f>J151-4</f>
        <v>2019</v>
      </c>
      <c r="G151" s="7">
        <f>J151-3</f>
        <v>2020</v>
      </c>
      <c r="H151" s="7">
        <f>J151-2</f>
        <v>2021</v>
      </c>
      <c r="I151" s="7">
        <f>J151-1</f>
        <v>2022</v>
      </c>
      <c r="J151" s="7">
        <f>Data!$B$2</f>
        <v>2023</v>
      </c>
      <c r="K151" s="17" t="str">
        <f>I151&amp;"/"&amp;J151&amp;" (%)"</f>
        <v>2022/2023 (%)</v>
      </c>
      <c r="L151" s="18" t="str">
        <f>"CAGR "&amp;F151&amp;"/"&amp;J151&amp;" (%)"</f>
        <v>CAGR 2019/2023 (%)</v>
      </c>
      <c r="M151" s="2"/>
      <c r="N151" s="2"/>
      <c r="O151" s="2"/>
      <c r="P151" s="2"/>
      <c r="Q151" s="2"/>
      <c r="R151" s="2"/>
      <c r="S151" s="2"/>
      <c r="T151" s="2"/>
      <c r="U151" s="2"/>
    </row>
    <row r="152" spans="1:23" ht="15" customHeight="1" x14ac:dyDescent="0.15">
      <c r="A152" s="2"/>
      <c r="B152" s="15" t="s">
        <v>58</v>
      </c>
      <c r="C152" s="16">
        <f>IFERROR(HLOOKUP(C$151,[0]!data,MATCH("rendele",Data!$J:$J,0)-4),0)</f>
        <v>98.881450000000001</v>
      </c>
      <c r="D152" s="16">
        <f>IFERROR(HLOOKUP(D$151,[0]!data,MATCH("rendele",Data!$J:$J,0)-4),0)</f>
        <v>82.350319999999996</v>
      </c>
      <c r="E152" s="16">
        <f>IFERROR(HLOOKUP(E$151,[0]!data,MATCH("rendele",Data!$J:$J,0)-4),0)</f>
        <v>56.805370000000003</v>
      </c>
      <c r="F152" s="16">
        <f>IFERROR(HLOOKUP(F$151,[0]!data,MATCH("rendele",Data!$J:$J,0)-4),0)</f>
        <v>62.948009999999996</v>
      </c>
      <c r="G152" s="16">
        <f>IFERROR(HLOOKUP(G$151,[0]!data,MATCH("rendele",Data!$J:$J,0)-4),0)</f>
        <v>54.18262</v>
      </c>
      <c r="H152" s="16">
        <f>IFERROR(HLOOKUP(H$151,[0]!data,MATCH("rendele",Data!$J:$J,0)-4),0)</f>
        <v>58.206980000000001</v>
      </c>
      <c r="I152" s="16">
        <f>IFERROR(HLOOKUP(I$151,[0]!data,MATCH("rendele",Data!$J:$J,0)-4),0)</f>
        <v>57.708410000000001</v>
      </c>
      <c r="J152" s="16">
        <f>IFERROR(HLOOKUP(J$151,[0]!data,MATCH("rendele",Data!$J:$J,0)-4),0)</f>
        <v>58.744549999999997</v>
      </c>
      <c r="K152" s="21">
        <f>IFERROR((J152/I152)-1,"")</f>
        <v>1.7954748709936741E-2</v>
      </c>
      <c r="L152" s="21">
        <f>IFERROR(POWER(J152/F152,1/(J$26-F$26))-1,"")</f>
        <v>-1.7129287820740635E-2</v>
      </c>
      <c r="M152" s="2"/>
      <c r="N152" s="2"/>
      <c r="O152" s="2"/>
      <c r="P152" s="2"/>
      <c r="Q152" s="2"/>
      <c r="R152" s="2"/>
      <c r="S152" s="2"/>
      <c r="T152" s="2"/>
      <c r="U152" s="2"/>
    </row>
    <row r="153" spans="1:23" ht="15" customHeight="1" x14ac:dyDescent="0.15">
      <c r="A153" s="2"/>
      <c r="B153" s="39" t="s">
        <v>59</v>
      </c>
      <c r="C153" s="38">
        <f>IFERROR(HLOOKUP(C$151,[0]!data,MATCH("cmbelerend",Data!$J:$J,0)-4),0)</f>
        <v>18.566490000000002</v>
      </c>
      <c r="D153" s="38">
        <f>IFERROR(HLOOKUP(D$151,[0]!data,MATCH("cmbelerend",Data!$J:$J,0)-4),0)</f>
        <v>28.528179999999999</v>
      </c>
      <c r="E153" s="38">
        <f>IFERROR(HLOOKUP(E$151,[0]!data,MATCH("cmbelerend",Data!$J:$J,0)-4),0)</f>
        <v>29.08653</v>
      </c>
      <c r="F153" s="38">
        <f>IFERROR(HLOOKUP(F$151,[0]!data,MATCH("cmbelerend",Data!$J:$J,0)-4),0)</f>
        <v>50.578530000000001</v>
      </c>
      <c r="G153" s="38">
        <f>IFERROR(HLOOKUP(G$151,[0]!data,MATCH("cmbelerend",Data!$J:$J,0)-4),0)</f>
        <v>42.910769999999999</v>
      </c>
      <c r="H153" s="38">
        <f>IFERROR(HLOOKUP(H$151,[0]!data,MATCH("cmbelerend",Data!$J:$J,0)-4),0)</f>
        <v>47.64405</v>
      </c>
      <c r="I153" s="38">
        <f>IFERROR(HLOOKUP(I$151,[0]!data,MATCH("cmbelerend",Data!$J:$J,0)-4),0)</f>
        <v>46.593629999999997</v>
      </c>
      <c r="J153" s="38">
        <f>IFERROR(HLOOKUP(J$151,[0]!data,MATCH("cmbelerend",Data!$J:$J,0)-4),0)</f>
        <v>46.69341</v>
      </c>
      <c r="K153" s="46">
        <f t="shared" ref="K153:K155" si="11">IFERROR((J153/I153)-1,"")</f>
        <v>2.1414944489193122E-3</v>
      </c>
      <c r="L153" s="46">
        <f>IFERROR(POWER(J153/F153,1/(J$26-F$26))-1,"")</f>
        <v>-1.9782736245778754E-2</v>
      </c>
      <c r="M153" s="2"/>
      <c r="N153" s="2"/>
      <c r="O153" s="2"/>
      <c r="P153" s="2"/>
      <c r="Q153" s="2"/>
      <c r="R153" s="2"/>
      <c r="S153" s="2"/>
      <c r="T153" s="2"/>
      <c r="U153" s="2"/>
    </row>
    <row r="154" spans="1:23" ht="15" customHeight="1" x14ac:dyDescent="0.15">
      <c r="A154" s="2"/>
      <c r="B154" s="19" t="s">
        <v>60</v>
      </c>
      <c r="C154" s="10">
        <f>IFERROR(HLOOKUP(C$151,[0]!data,MATCH("cspelerend",Data!$J:$J,0)-4),0)</f>
        <v>0</v>
      </c>
      <c r="D154" s="10">
        <f>IFERROR(HLOOKUP(D$151,[0]!data,MATCH("cspelerend",Data!$J:$J,0)-4),0)</f>
        <v>0</v>
      </c>
      <c r="E154" s="10">
        <f>IFERROR(HLOOKUP(E$151,[0]!data,MATCH("cspelerend",Data!$J:$J,0)-4),0)</f>
        <v>0</v>
      </c>
      <c r="F154" s="10">
        <f>IFERROR(HLOOKUP(F$151,[0]!data,MATCH("cspelerend",Data!$J:$J,0)-4),0)</f>
        <v>0</v>
      </c>
      <c r="G154" s="10">
        <f>IFERROR(HLOOKUP(G$151,[0]!data,MATCH("cspelerend",Data!$J:$J,0)-4),0)</f>
        <v>0</v>
      </c>
      <c r="H154" s="10">
        <f>IFERROR(HLOOKUP(H$151,[0]!data,MATCH("cspelerend",Data!$J:$J,0)-4),0)</f>
        <v>0</v>
      </c>
      <c r="I154" s="10">
        <f>IFERROR(HLOOKUP(I$151,[0]!data,MATCH("cspelerend",Data!$J:$J,0)-4),0)</f>
        <v>0</v>
      </c>
      <c r="J154" s="10">
        <f>IFERROR(HLOOKUP(J$151,[0]!data,MATCH("cspelerend",Data!$J:$J,0)-4),0)</f>
        <v>0</v>
      </c>
      <c r="K154" s="20" t="str">
        <f t="shared" si="11"/>
        <v/>
      </c>
      <c r="L154" s="20" t="str">
        <f>IFERROR(POWER(J154/F154,1/(J$26-F$26))-1,"")</f>
        <v/>
      </c>
      <c r="M154" s="2"/>
      <c r="N154" s="2"/>
      <c r="O154" s="2"/>
      <c r="P154" s="2"/>
      <c r="Q154" s="2"/>
      <c r="R154" s="2"/>
      <c r="S154" s="2"/>
      <c r="T154" s="2"/>
      <c r="U154" s="2"/>
    </row>
    <row r="155" spans="1:23" ht="15" customHeight="1" x14ac:dyDescent="0.15">
      <c r="A155" s="2"/>
      <c r="B155" s="19" t="s">
        <v>61</v>
      </c>
      <c r="C155" s="10">
        <f>IFERROR(HLOOKUP(C$151,[0]!data,MATCH("gazelerend",Data!$J:$J,0)-4),0)</f>
        <v>0</v>
      </c>
      <c r="D155" s="10">
        <f>IFERROR(HLOOKUP(D$151,[0]!data,MATCH("gazelerend",Data!$J:$J,0)-4),0)</f>
        <v>0</v>
      </c>
      <c r="E155" s="10">
        <f>IFERROR(HLOOKUP(E$151,[0]!data,MATCH("gazelerend",Data!$J:$J,0)-4),0)</f>
        <v>50.014380000000003</v>
      </c>
      <c r="F155" s="10">
        <f>IFERROR(HLOOKUP(F$151,[0]!data,MATCH("gazelerend",Data!$J:$J,0)-4),0)</f>
        <v>52.973179999999999</v>
      </c>
      <c r="G155" s="10">
        <f>IFERROR(HLOOKUP(G$151,[0]!data,MATCH("gazelerend",Data!$J:$J,0)-4),0)</f>
        <v>43.396120000000003</v>
      </c>
      <c r="H155" s="10">
        <f>IFERROR(HLOOKUP(H$151,[0]!data,MATCH("gazelerend",Data!$J:$J,0)-4),0)</f>
        <v>48.622680000000003</v>
      </c>
      <c r="I155" s="10">
        <f>IFERROR(HLOOKUP(I$151,[0]!data,MATCH("gazelerend",Data!$J:$J,0)-4),0)</f>
        <v>47.052300000000002</v>
      </c>
      <c r="J155" s="10">
        <f>IFERROR(HLOOKUP(J$151,[0]!data,MATCH("gazelerend",Data!$J:$J,0)-4),0)</f>
        <v>47.458219999999997</v>
      </c>
      <c r="K155" s="20">
        <f t="shared" si="11"/>
        <v>8.6269959173088662E-3</v>
      </c>
      <c r="L155" s="20">
        <f>IFERROR(POWER(J155/F155,1/(J$26-F$26))-1,"")</f>
        <v>-2.7109751983623198E-2</v>
      </c>
      <c r="M155" s="2"/>
      <c r="N155" s="2"/>
      <c r="O155" s="2"/>
      <c r="P155" s="2"/>
      <c r="Q155" s="2"/>
      <c r="R155" s="2"/>
      <c r="S155" s="2"/>
      <c r="T155" s="2"/>
      <c r="U155" s="2"/>
    </row>
    <row r="156" spans="1:23" ht="15" customHeight="1" x14ac:dyDescent="0.15">
      <c r="A156" s="2"/>
      <c r="B156" s="5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3" ht="20.100000000000001" customHeight="1" x14ac:dyDescent="0.15">
      <c r="A157" s="2"/>
      <c r="B157" s="1" t="s">
        <v>62</v>
      </c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N157" s="2"/>
      <c r="O157" s="2"/>
      <c r="P157" s="2"/>
      <c r="Q157" s="2"/>
      <c r="R157" s="2"/>
      <c r="S157" s="2"/>
      <c r="T157" s="2"/>
      <c r="U157" s="2"/>
    </row>
    <row r="158" spans="1:23" ht="15" customHeight="1" x14ac:dyDescent="0.15">
      <c r="A158" s="2"/>
      <c r="B158" s="5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" customHeight="1" x14ac:dyDescent="0.15">
      <c r="A159" s="2"/>
      <c r="B159" s="22" t="s">
        <v>63</v>
      </c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" customHeight="1" x14ac:dyDescent="0.15">
      <c r="A160" s="2"/>
      <c r="B160" s="5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5" customHeight="1" x14ac:dyDescent="0.15">
      <c r="A161" s="2"/>
      <c r="B161" s="5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5" customHeight="1" x14ac:dyDescent="0.15">
      <c r="A162" s="2"/>
      <c r="B162" s="5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5" customHeight="1" x14ac:dyDescent="0.15">
      <c r="A163" s="2"/>
      <c r="B163" s="5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5" customHeight="1" x14ac:dyDescent="0.15">
      <c r="A164" s="2"/>
      <c r="B164" s="5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5" customHeight="1" x14ac:dyDescent="0.15">
      <c r="A165" s="2"/>
      <c r="B165" s="5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5" customHeight="1" x14ac:dyDescent="0.15">
      <c r="A166" s="2"/>
      <c r="B166" s="5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5" customHeight="1" x14ac:dyDescent="0.15">
      <c r="A167" s="2"/>
      <c r="B167" s="5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5" customHeight="1" x14ac:dyDescent="0.15">
      <c r="A168" s="2"/>
      <c r="B168" s="5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5" customHeight="1" x14ac:dyDescent="0.15">
      <c r="A169" s="2"/>
      <c r="B169" s="5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5" customHeight="1" x14ac:dyDescent="0.15">
      <c r="A170" s="2"/>
      <c r="B170" s="5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5" customHeight="1" x14ac:dyDescent="0.15">
      <c r="A171" s="2"/>
      <c r="B171" s="5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5" customHeight="1" x14ac:dyDescent="0.15">
      <c r="A172" s="2"/>
      <c r="B172" s="5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5" customHeight="1" x14ac:dyDescent="0.15">
      <c r="A173" s="2"/>
      <c r="B173" s="5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5" customHeight="1" x14ac:dyDescent="0.15">
      <c r="A174" s="2"/>
      <c r="B174" s="5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5" customHeight="1" x14ac:dyDescent="0.15">
      <c r="A175" s="2"/>
      <c r="B175" s="5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5" customHeight="1" x14ac:dyDescent="0.15">
      <c r="A176" s="2"/>
      <c r="B176" s="5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3" ht="15" customHeight="1" x14ac:dyDescent="0.15">
      <c r="A177" s="2"/>
      <c r="B177" s="5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3" ht="15" customHeight="1" x14ac:dyDescent="0.15">
      <c r="A178" s="2"/>
      <c r="B178" s="5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3" ht="34.5" customHeight="1" x14ac:dyDescent="0.15">
      <c r="A179" s="2"/>
      <c r="B179" s="6" t="s">
        <v>64</v>
      </c>
      <c r="C179" s="7">
        <v>1990</v>
      </c>
      <c r="D179" s="7">
        <v>2000</v>
      </c>
      <c r="E179" s="7">
        <v>2010</v>
      </c>
      <c r="F179" s="7">
        <f>J179-4</f>
        <v>2019</v>
      </c>
      <c r="G179" s="7">
        <f>J179-3</f>
        <v>2020</v>
      </c>
      <c r="H179" s="7">
        <f>J179-2</f>
        <v>2021</v>
      </c>
      <c r="I179" s="7">
        <f>J179-1</f>
        <v>2022</v>
      </c>
      <c r="J179" s="7">
        <f>Data!$B$2</f>
        <v>2023</v>
      </c>
      <c r="K179" s="17" t="str">
        <f>I179&amp;"/"&amp;J179&amp;" (%)"</f>
        <v>2022/2023 (%)</v>
      </c>
      <c r="L179" s="18" t="str">
        <f>"CAGR "&amp;F179&amp;"/"&amp;J179&amp;" (%)"</f>
        <v>CAGR 2019/2023 (%)</v>
      </c>
      <c r="M179" s="2"/>
      <c r="N179" s="2"/>
      <c r="O179" s="2"/>
      <c r="P179" s="2"/>
      <c r="Q179" s="2"/>
      <c r="R179" s="2"/>
      <c r="S179" s="2"/>
      <c r="T179" s="2"/>
      <c r="U179" s="2"/>
    </row>
    <row r="180" spans="1:23" ht="15" customHeight="1" x14ac:dyDescent="0.15">
      <c r="A180" s="2"/>
      <c r="B180" s="15" t="s">
        <v>40</v>
      </c>
      <c r="C180" s="16">
        <f>IFERROR(HLOOKUP(C$179,[0]!data,MATCH("co2iepu",Data!$J:$J,0)-4),0)</f>
        <v>21.950109999999999</v>
      </c>
      <c r="D180" s="16">
        <f>IFERROR(HLOOKUP(D$179,[0]!data,MATCH("co2iepu",Data!$J:$J,0)-4),0)</f>
        <v>573.13751999999999</v>
      </c>
      <c r="E180" s="16">
        <f>IFERROR(HLOOKUP(E$179,[0]!data,MATCH("co2iepu",Data!$J:$J,0)-4),0)</f>
        <v>2718.4709600000001</v>
      </c>
      <c r="F180" s="16">
        <f>IFERROR(HLOOKUP(F$179,[0]!data,MATCH("co2iepu",Data!$J:$J,0)-4),0)</f>
        <v>4541.8755799999999</v>
      </c>
      <c r="G180" s="16">
        <f>IFERROR(HLOOKUP(G$179,[0]!data,MATCH("co2iepu",Data!$J:$J,0)-4),0)</f>
        <v>6096.5210999999999</v>
      </c>
      <c r="H180" s="16">
        <f>IFERROR(HLOOKUP(H$179,[0]!data,MATCH("co2iepu",Data!$J:$J,0)-4),0)</f>
        <v>6217.1327799999999</v>
      </c>
      <c r="I180" s="16">
        <f>IFERROR(HLOOKUP(I$179,[0]!data,MATCH("co2iepu",Data!$J:$J,0)-4),0)</f>
        <v>6478.9581099999996</v>
      </c>
      <c r="J180" s="16">
        <f>IFERROR(HLOOKUP(J$179,[0]!data,MATCH("co2iepu",Data!$J:$J,0)-4),0)</f>
        <v>6547.5162799999998</v>
      </c>
      <c r="K180" s="21">
        <f>IFERROR((J180/I180)-1,"")</f>
        <v>1.0581665884547675E-2</v>
      </c>
      <c r="L180" s="21">
        <f>IFERROR(POWER(J180/F180,1/(J$26-F$26))-1,"")</f>
        <v>9.5747121601500229E-2</v>
      </c>
      <c r="M180" s="2"/>
      <c r="N180" s="2"/>
      <c r="O180" s="2"/>
      <c r="P180" s="2"/>
      <c r="Q180" s="2"/>
      <c r="R180" s="2"/>
      <c r="S180" s="2"/>
      <c r="T180" s="2"/>
      <c r="U180" s="2"/>
    </row>
    <row r="181" spans="1:23" ht="15" customHeight="1" x14ac:dyDescent="0.15">
      <c r="A181" s="2"/>
      <c r="B181" s="19" t="s">
        <v>30</v>
      </c>
      <c r="C181" s="10">
        <f>IFERROR(HLOOKUP(C$179,[0]!data,MATCH("co2iepucms",Data!$J:$J,0)-4),0)</f>
        <v>0</v>
      </c>
      <c r="D181" s="10">
        <f>IFERROR(HLOOKUP(D$179,[0]!data,MATCH("co2iepucms",Data!$J:$J,0)-4),0)</f>
        <v>0</v>
      </c>
      <c r="E181" s="10">
        <f>IFERROR(HLOOKUP(E$179,[0]!data,MATCH("co2iepucms",Data!$J:$J,0)-4),0)</f>
        <v>0</v>
      </c>
      <c r="F181" s="10">
        <f>IFERROR(HLOOKUP(F$179,[0]!data,MATCH("co2iepucms",Data!$J:$J,0)-4),0)</f>
        <v>0</v>
      </c>
      <c r="G181" s="10">
        <f>IFERROR(HLOOKUP(G$179,[0]!data,MATCH("co2iepucms",Data!$J:$J,0)-4),0)</f>
        <v>0</v>
      </c>
      <c r="H181" s="10">
        <f>IFERROR(HLOOKUP(H$179,[0]!data,MATCH("co2iepucms",Data!$J:$J,0)-4),0)</f>
        <v>0</v>
      </c>
      <c r="I181" s="10">
        <f>IFERROR(HLOOKUP(I$179,[0]!data,MATCH("co2iepucms",Data!$J:$J,0)-4),0)</f>
        <v>0</v>
      </c>
      <c r="J181" s="10">
        <f>IFERROR(HLOOKUP(J$179,[0]!data,MATCH("co2iepucms",Data!$J:$J,0)-4),0)</f>
        <v>0</v>
      </c>
      <c r="K181" s="24" t="str">
        <f t="shared" ref="K181:K183" si="12">IFERROR((J181/I181)-1,"")</f>
        <v/>
      </c>
      <c r="L181" s="24" t="str">
        <f t="shared" ref="L181:L183" si="13">IFERROR(POWER(J181/F181,1/(J$26-F$26))-1,"")</f>
        <v/>
      </c>
      <c r="M181" s="2"/>
      <c r="N181" s="2"/>
      <c r="O181" s="2"/>
      <c r="P181" s="2"/>
      <c r="Q181" s="2"/>
      <c r="R181" s="2"/>
      <c r="S181" s="2"/>
      <c r="T181" s="2"/>
      <c r="U181" s="2"/>
    </row>
    <row r="182" spans="1:23" ht="15" customHeight="1" x14ac:dyDescent="0.15">
      <c r="A182" s="2"/>
      <c r="B182" s="19" t="s">
        <v>31</v>
      </c>
      <c r="C182" s="10">
        <f>IFERROR(HLOOKUP(C$179,[0]!data,MATCH("co2iepugaz",Data!$J:$J,0)-4),0)</f>
        <v>0</v>
      </c>
      <c r="D182" s="10">
        <f>IFERROR(HLOOKUP(D$179,[0]!data,MATCH("co2iepugaz",Data!$J:$J,0)-4),0)</f>
        <v>0</v>
      </c>
      <c r="E182" s="10">
        <f>IFERROR(HLOOKUP(E$179,[0]!data,MATCH("co2iepugaz",Data!$J:$J,0)-4),0)</f>
        <v>524.06784000000005</v>
      </c>
      <c r="F182" s="10">
        <f>IFERROR(HLOOKUP(F$179,[0]!data,MATCH("co2iepugaz",Data!$J:$J,0)-4),0)</f>
        <v>3964.5184100000001</v>
      </c>
      <c r="G182" s="10">
        <f>IFERROR(HLOOKUP(G$179,[0]!data,MATCH("co2iepugaz",Data!$J:$J,0)-4),0)</f>
        <v>5844.6859800000002</v>
      </c>
      <c r="H182" s="10">
        <f>IFERROR(HLOOKUP(H$179,[0]!data,MATCH("co2iepugaz",Data!$J:$J,0)-4),0)</f>
        <v>5803.6238199999998</v>
      </c>
      <c r="I182" s="10">
        <f>IFERROR(HLOOKUP(I$179,[0]!data,MATCH("co2iepugaz",Data!$J:$J,0)-4),0)</f>
        <v>6259.5571300000001</v>
      </c>
      <c r="J182" s="10">
        <f>IFERROR(HLOOKUP(J$179,[0]!data,MATCH("co2iepugaz",Data!$J:$J,0)-4),0)</f>
        <v>6196.0448100000003</v>
      </c>
      <c r="K182" s="24">
        <f t="shared" si="12"/>
        <v>-1.0146455840398971E-2</v>
      </c>
      <c r="L182" s="24">
        <f t="shared" si="13"/>
        <v>0.11810097903575123</v>
      </c>
      <c r="M182" s="2"/>
      <c r="N182" s="2"/>
      <c r="O182" s="2"/>
      <c r="P182" s="2"/>
      <c r="Q182" s="2"/>
      <c r="R182" s="2"/>
      <c r="S182" s="2"/>
      <c r="T182" s="2"/>
      <c r="U182" s="2"/>
    </row>
    <row r="183" spans="1:23" ht="15" customHeight="1" x14ac:dyDescent="0.15">
      <c r="A183" s="2"/>
      <c r="B183" s="19" t="s">
        <v>32</v>
      </c>
      <c r="C183" s="10">
        <f>IFERROR(HLOOKUP(C$179,[0]!data,MATCH("co2iepupet",Data!$J:$J,0)-4),0)</f>
        <v>21.950109999999999</v>
      </c>
      <c r="D183" s="10">
        <f>IFERROR(HLOOKUP(D$179,[0]!data,MATCH("co2iepupet",Data!$J:$J,0)-4),0)</f>
        <v>573.13751999999999</v>
      </c>
      <c r="E183" s="10">
        <f>IFERROR(HLOOKUP(E$179,[0]!data,MATCH("co2iepupet",Data!$J:$J,0)-4),0)</f>
        <v>2194.4031100000002</v>
      </c>
      <c r="F183" s="10">
        <f>IFERROR(HLOOKUP(F$179,[0]!data,MATCH("co2iepupet",Data!$J:$J,0)-4),0)</f>
        <v>577.35717</v>
      </c>
      <c r="G183" s="10">
        <f>IFERROR(HLOOKUP(G$179,[0]!data,MATCH("co2iepupet",Data!$J:$J,0)-4),0)</f>
        <v>251.83512999999999</v>
      </c>
      <c r="H183" s="10">
        <f>IFERROR(HLOOKUP(H$179,[0]!data,MATCH("co2iepupet",Data!$J:$J,0)-4),0)</f>
        <v>413.50896</v>
      </c>
      <c r="I183" s="10">
        <f>IFERROR(HLOOKUP(I$179,[0]!data,MATCH("co2iepupet",Data!$J:$J,0)-4),0)</f>
        <v>219.40098</v>
      </c>
      <c r="J183" s="10">
        <f>IFERROR(HLOOKUP(J$179,[0]!data,MATCH("co2iepupet",Data!$J:$J,0)-4),0)</f>
        <v>351.47147999999999</v>
      </c>
      <c r="K183" s="24">
        <f t="shared" si="12"/>
        <v>0.60195948076439754</v>
      </c>
      <c r="L183" s="24">
        <f t="shared" si="13"/>
        <v>-0.11669359080226493</v>
      </c>
      <c r="M183" s="2"/>
      <c r="N183" s="2"/>
      <c r="O183" s="2"/>
      <c r="P183" s="2"/>
      <c r="Q183" s="2"/>
      <c r="R183" s="2"/>
      <c r="S183" s="2"/>
      <c r="T183" s="2"/>
      <c r="U183" s="2"/>
    </row>
    <row r="184" spans="1:23" ht="15" customHeight="1" x14ac:dyDescent="0.15">
      <c r="A184" s="2"/>
      <c r="B184" s="5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3" ht="15" customHeight="1" x14ac:dyDescent="0.15">
      <c r="A185" s="2"/>
      <c r="B185" s="22" t="s">
        <v>65</v>
      </c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" customHeight="1" x14ac:dyDescent="0.15">
      <c r="A186" s="2"/>
      <c r="B186" s="5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3" ht="15" customHeight="1" x14ac:dyDescent="0.15">
      <c r="A187" s="2"/>
      <c r="B187" s="5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3" ht="15" customHeight="1" x14ac:dyDescent="0.15">
      <c r="A188" s="2"/>
      <c r="B188" s="5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3" ht="15" customHeight="1" x14ac:dyDescent="0.15">
      <c r="A189" s="2"/>
      <c r="B189" s="5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3" ht="15" customHeight="1" x14ac:dyDescent="0.15">
      <c r="A190" s="2"/>
      <c r="B190" s="5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3" ht="15" customHeight="1" x14ac:dyDescent="0.15">
      <c r="A191" s="2"/>
      <c r="B191" s="5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3" ht="15" customHeight="1" x14ac:dyDescent="0.15">
      <c r="A192" s="2"/>
      <c r="B192" s="5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5" customHeight="1" x14ac:dyDescent="0.15">
      <c r="A193" s="2"/>
      <c r="B193" s="5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5" customHeight="1" x14ac:dyDescent="0.15">
      <c r="A194" s="2"/>
      <c r="B194" s="5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5" customHeight="1" x14ac:dyDescent="0.15">
      <c r="A195" s="2"/>
      <c r="B195" s="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5" customHeight="1" x14ac:dyDescent="0.15">
      <c r="A196" s="2"/>
      <c r="B196" s="5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5" customHeight="1" x14ac:dyDescent="0.15">
      <c r="A197" s="2"/>
      <c r="B197" s="5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5" customHeight="1" x14ac:dyDescent="0.15">
      <c r="A198" s="2"/>
      <c r="B198" s="5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5" customHeight="1" x14ac:dyDescent="0.15">
      <c r="A199" s="2"/>
      <c r="B199" s="5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5" customHeight="1" x14ac:dyDescent="0.15">
      <c r="A200" s="2"/>
      <c r="B200" s="5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5" customHeight="1" x14ac:dyDescent="0.15">
      <c r="A201" s="2"/>
      <c r="B201" s="5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5" customHeight="1" x14ac:dyDescent="0.15">
      <c r="A202" s="2"/>
      <c r="B202" s="5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5" customHeight="1" x14ac:dyDescent="0.15">
      <c r="A203" s="2"/>
      <c r="B203" s="5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5" customHeight="1" x14ac:dyDescent="0.15">
      <c r="A204" s="2"/>
      <c r="B204" s="5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34.5" customHeight="1" x14ac:dyDescent="0.15">
      <c r="A205" s="2"/>
      <c r="B205" s="6" t="s">
        <v>66</v>
      </c>
      <c r="C205" s="7">
        <v>1990</v>
      </c>
      <c r="D205" s="7">
        <v>2000</v>
      </c>
      <c r="E205" s="7">
        <v>2010</v>
      </c>
      <c r="F205" s="7">
        <f>J205-4</f>
        <v>2019</v>
      </c>
      <c r="G205" s="7">
        <f>J205-3</f>
        <v>2020</v>
      </c>
      <c r="H205" s="7">
        <f>J205-2</f>
        <v>2021</v>
      </c>
      <c r="I205" s="7">
        <f>J205-1</f>
        <v>2022</v>
      </c>
      <c r="J205" s="7">
        <f>Data!$B$2</f>
        <v>2023</v>
      </c>
      <c r="K205" s="17" t="str">
        <f>I205&amp;"/"&amp;J205&amp;" (%)"</f>
        <v>2022/2023 (%)</v>
      </c>
      <c r="L205" s="18" t="str">
        <f>"CAGR "&amp;F205&amp;"/"&amp;J205&amp;" (%)"</f>
        <v>CAGR 2019/2023 (%)</v>
      </c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5" customHeight="1" x14ac:dyDescent="0.15">
      <c r="A206" s="2"/>
      <c r="B206" s="4" t="s">
        <v>67</v>
      </c>
      <c r="C206" s="10">
        <f>IFERROR(HLOOKUP(C$205,[0]!data,MATCH("co2ieelepd",Data!$J:$J,0)-4),0)</f>
        <v>3.7740900000000002</v>
      </c>
      <c r="D206" s="10">
        <f>IFERROR(HLOOKUP(D$205,[0]!data,MATCH("co2ieelepd",Data!$J:$J,0)-4),0)</f>
        <v>79.337969999999999</v>
      </c>
      <c r="E206" s="10">
        <f>IFERROR(HLOOKUP(E$205,[0]!data,MATCH("co2ieelepd",Data!$J:$J,0)-4),0)</f>
        <v>267.38182</v>
      </c>
      <c r="F206" s="10">
        <f>IFERROR(HLOOKUP(F$205,[0]!data,MATCH("co2ieelepd",Data!$J:$J,0)-4),0)</f>
        <v>247.26571999999999</v>
      </c>
      <c r="G206" s="10">
        <f>IFERROR(HLOOKUP(G$205,[0]!data,MATCH("co2ieelepd",Data!$J:$J,0)-4),0)</f>
        <v>302.25238000000002</v>
      </c>
      <c r="H206" s="10">
        <f>IFERROR(HLOOKUP(H$205,[0]!data,MATCH("co2ieelepd",Data!$J:$J,0)-4),0)</f>
        <v>281.94628999999998</v>
      </c>
      <c r="I206" s="10">
        <f>IFERROR(HLOOKUP(I$205,[0]!data,MATCH("co2ieelepd",Data!$J:$J,0)-4),0)</f>
        <v>279.71152999999998</v>
      </c>
      <c r="J206" s="10">
        <f>IFERROR(HLOOKUP(J$205,[0]!data,MATCH("co2ieelepd",Data!$J:$J,0)-4),0)</f>
        <v>269.94339000000002</v>
      </c>
      <c r="K206" s="24">
        <f t="shared" ref="K206" si="14">IFERROR((J206/I206)-1,"")</f>
        <v>-3.4922192874923486E-2</v>
      </c>
      <c r="L206" s="24">
        <f t="shared" ref="L206" si="15">IFERROR(POWER(J206/F206,1/(J$26-F$26))-1,"")</f>
        <v>2.2179569770184315E-2</v>
      </c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5" customHeight="1" x14ac:dyDescent="0.15">
      <c r="A207" s="2"/>
      <c r="B207" s="5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20.100000000000001" customHeight="1" x14ac:dyDescent="0.15">
      <c r="A208" s="2"/>
      <c r="B208" s="1" t="s">
        <v>68</v>
      </c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N208" s="2"/>
      <c r="O208" s="2"/>
      <c r="P208" s="2"/>
      <c r="Q208" s="2"/>
      <c r="R208" s="2"/>
      <c r="S208" s="2"/>
      <c r="T208" s="2"/>
      <c r="U208" s="2"/>
    </row>
    <row r="209" spans="1:21" ht="15" customHeight="1" x14ac:dyDescent="0.15">
      <c r="A209" s="2"/>
      <c r="B209" s="5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34.5" customHeight="1" x14ac:dyDescent="0.15">
      <c r="A210" s="2"/>
      <c r="B210" s="6" t="s">
        <v>68</v>
      </c>
      <c r="C210" s="7">
        <v>1990</v>
      </c>
      <c r="D210" s="7">
        <v>2000</v>
      </c>
      <c r="E210" s="7">
        <v>2010</v>
      </c>
      <c r="F210" s="7">
        <f>J210-4</f>
        <v>2019</v>
      </c>
      <c r="G210" s="7">
        <f>J210-3</f>
        <v>2020</v>
      </c>
      <c r="H210" s="7">
        <f>J210-2</f>
        <v>2021</v>
      </c>
      <c r="I210" s="7">
        <f>J210-1</f>
        <v>2022</v>
      </c>
      <c r="J210" s="7">
        <f>Data!$B$2</f>
        <v>2023</v>
      </c>
      <c r="K210" s="17" t="str">
        <f>I210&amp;"/"&amp;J210&amp;" (%)"</f>
        <v>2022/2023 (%)</v>
      </c>
      <c r="L210" s="18" t="str">
        <f>"CAGR "&amp;F210&amp;"/"&amp;J210&amp;" (%)"</f>
        <v>CAGR 2019/2023 (%)</v>
      </c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26.1" customHeight="1" x14ac:dyDescent="0.15">
      <c r="A211" s="2"/>
      <c r="B211" s="25" t="s">
        <v>69</v>
      </c>
      <c r="C211" s="10">
        <f>IFERROR(HLOOKUP(C$210,[0]!data,MATCH("elemwpop",Data!$J:$J,0)-4),0)</f>
        <v>75.225049999999996</v>
      </c>
      <c r="D211" s="10">
        <f>IFERROR(HLOOKUP(D$210,[0]!data,MATCH("elemwpop",Data!$J:$J,0)-4),0)</f>
        <v>84.298590000000004</v>
      </c>
      <c r="E211" s="10">
        <f>IFERROR(HLOOKUP(E$210,[0]!data,MATCH("elemwpop",Data!$J:$J,0)-4),0)</f>
        <v>84.918779999999998</v>
      </c>
      <c r="F211" s="10">
        <f>IFERROR(HLOOKUP(F$210,[0]!data,MATCH("elemwpop",Data!$J:$J,0)-4),0)</f>
        <v>169.61895999999999</v>
      </c>
      <c r="G211" s="10">
        <f>IFERROR(HLOOKUP(G$210,[0]!data,MATCH("elemwpop",Data!$J:$J,0)-4),0)</f>
        <v>167.23688000000001</v>
      </c>
      <c r="H211" s="10">
        <f>IFERROR(HLOOKUP(H$210,[0]!data,MATCH("elemwpop",Data!$J:$J,0)-4),0)</f>
        <v>165.80037999999999</v>
      </c>
      <c r="I211" s="10">
        <f>IFERROR(HLOOKUP(I$210,[0]!data,MATCH("elemwpop",Data!$J:$J,0)-4),0)</f>
        <v>162.76587000000001</v>
      </c>
      <c r="J211" s="10">
        <f>IFERROR(HLOOKUP(J$210,[0]!data,MATCH("elemwpop",Data!$J:$J,0)-4),0)</f>
        <v>0</v>
      </c>
      <c r="K211" s="24">
        <f>IFERROR((J211/I211)-1,"")</f>
        <v>-1</v>
      </c>
      <c r="L211" s="24">
        <f>IFERROR(POWER(J211/F211,1/(J$26-F$26))-1,"")</f>
        <v>-1</v>
      </c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26.1" customHeight="1" x14ac:dyDescent="0.15">
      <c r="A212" s="2"/>
      <c r="B212" s="25" t="s">
        <v>70</v>
      </c>
      <c r="C212" s="10">
        <f>IFERROR(HLOOKUP(C$210,[0]!data,MATCH("tutele",Data!$J:$J,0)-4),0)</f>
        <v>4554.2168700000002</v>
      </c>
      <c r="D212" s="10">
        <f>IFERROR(HLOOKUP(D$210,[0]!data,MATCH("tutele",Data!$J:$J,0)-4),0)</f>
        <v>4345.5863099999997</v>
      </c>
      <c r="E212" s="10">
        <f>IFERROR(HLOOKUP(E$210,[0]!data,MATCH("tutele",Data!$J:$J,0)-4),0)</f>
        <v>4681.42634</v>
      </c>
      <c r="F212" s="10">
        <f>IFERROR(HLOOKUP(F$210,[0]!data,MATCH("tutele",Data!$J:$J,0)-4),0)</f>
        <v>3401.7122100000001</v>
      </c>
      <c r="G212" s="10">
        <f>IFERROR(HLOOKUP(G$210,[0]!data,MATCH("tutele",Data!$J:$J,0)-4),0)</f>
        <v>3747.9072799999999</v>
      </c>
      <c r="H212" s="10">
        <f>IFERROR(HLOOKUP(H$210,[0]!data,MATCH("tutele",Data!$J:$J,0)-4),0)</f>
        <v>3917.9025999999999</v>
      </c>
      <c r="I212" s="10">
        <f>IFERROR(HLOOKUP(I$210,[0]!data,MATCH("tutele",Data!$J:$J,0)-4),0)</f>
        <v>4105.0454200000004</v>
      </c>
      <c r="J212" s="10">
        <f>IFERROR(HLOOKUP(J$210,[0]!data,MATCH("tutele",Data!$J:$J,0)-4),0)</f>
        <v>0</v>
      </c>
      <c r="K212" s="24">
        <f t="shared" ref="K212:K213" si="16">IFERROR((J212/I212)-1,"")</f>
        <v>-1</v>
      </c>
      <c r="L212" s="24">
        <f t="shared" ref="L212:L213" si="17">IFERROR(POWER(J212/F212,1/(J$26-F$26))-1,"")</f>
        <v>-1</v>
      </c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26.1" customHeight="1" x14ac:dyDescent="0.15">
      <c r="A213" s="2"/>
      <c r="B213" s="25" t="s">
        <v>71</v>
      </c>
      <c r="C213" s="10">
        <f>IFERROR(HLOOKUP(C$210,[0]!data,MATCH("pcelepdtwcons",Data!$J:$J,0)-4),0)</f>
        <v>0</v>
      </c>
      <c r="D213" s="10">
        <f>IFERROR(HLOOKUP(D$210,[0]!data,MATCH("pcelepdtwcons",Data!$J:$J,0)-4),0)</f>
        <v>0</v>
      </c>
      <c r="E213" s="10">
        <f>IFERROR(HLOOKUP(E$210,[0]!data,MATCH("pcelepdtwcons",Data!$J:$J,0)-4),0)</f>
        <v>0</v>
      </c>
      <c r="F213" s="10">
        <f>IFERROR(HLOOKUP(F$210,[0]!data,MATCH("pcelepdtwcons",Data!$J:$J,0)-4),0)</f>
        <v>0</v>
      </c>
      <c r="G213" s="10">
        <f>IFERROR(HLOOKUP(G$210,[0]!data,MATCH("pcelepdtwcons",Data!$J:$J,0)-4),0)</f>
        <v>0</v>
      </c>
      <c r="H213" s="10">
        <f>IFERROR(HLOOKUP(H$210,[0]!data,MATCH("pcelepdtwcons",Data!$J:$J,0)-4),0)</f>
        <v>0</v>
      </c>
      <c r="I213" s="10">
        <f>IFERROR(HLOOKUP(I$210,[0]!data,MATCH("pcelepdtwcons",Data!$J:$J,0)-4),0)</f>
        <v>0</v>
      </c>
      <c r="J213" s="10">
        <f>IFERROR(HLOOKUP(J$210,[0]!data,MATCH("pcelepdtwcons",Data!$J:$J,0)-4),0)</f>
        <v>0</v>
      </c>
      <c r="K213" s="24" t="str">
        <f t="shared" si="16"/>
        <v/>
      </c>
      <c r="L213" s="24" t="str">
        <f t="shared" si="17"/>
        <v/>
      </c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5" customHeight="1" x14ac:dyDescent="0.15">
      <c r="A214" s="2"/>
      <c r="B214" s="5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5" customHeight="1" x14ac:dyDescent="0.15">
      <c r="A215" s="2"/>
      <c r="B215" s="2" t="s">
        <v>45</v>
      </c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5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5" customHeight="1" x14ac:dyDescent="0.15">
      <c r="A217" s="2"/>
      <c r="B217" s="2" t="s">
        <v>13</v>
      </c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5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5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5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5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5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</sheetData>
  <conditionalFormatting sqref="C7:J27">
    <cfRule type="cellIs" dxfId="34" priority="110" operator="equal">
      <formula>"n.a."</formula>
    </cfRule>
  </conditionalFormatting>
  <conditionalFormatting sqref="C29:J32">
    <cfRule type="cellIs" dxfId="33" priority="107" operator="equal">
      <formula>"n.a."</formula>
    </cfRule>
  </conditionalFormatting>
  <conditionalFormatting sqref="C34:J38">
    <cfRule type="cellIs" dxfId="32" priority="101" operator="equal">
      <formula>"n.a."</formula>
    </cfRule>
  </conditionalFormatting>
  <conditionalFormatting sqref="C55:J75">
    <cfRule type="cellIs" dxfId="31" priority="88" operator="equal">
      <formula>"n.a."</formula>
    </cfRule>
  </conditionalFormatting>
  <conditionalFormatting sqref="C77:J80">
    <cfRule type="cellIs" dxfId="30" priority="94" operator="equal">
      <formula>"n.a."</formula>
    </cfRule>
  </conditionalFormatting>
  <conditionalFormatting sqref="C82:J86">
    <cfRule type="cellIs" dxfId="29" priority="90" operator="equal">
      <formula>"n.a."</formula>
    </cfRule>
  </conditionalFormatting>
  <conditionalFormatting sqref="C132:J152">
    <cfRule type="cellIs" dxfId="28" priority="70" operator="equal">
      <formula>"n.a."</formula>
    </cfRule>
  </conditionalFormatting>
  <conditionalFormatting sqref="C154:J155">
    <cfRule type="cellIs" dxfId="27" priority="71" operator="equal">
      <formula>"n.a."</formula>
    </cfRule>
  </conditionalFormatting>
  <conditionalFormatting sqref="C103:K104">
    <cfRule type="cellIs" dxfId="26" priority="61" operator="equal">
      <formula>"n.a."</formula>
    </cfRule>
  </conditionalFormatting>
  <conditionalFormatting sqref="C131:K131">
    <cfRule type="cellIs" dxfId="25" priority="60" operator="equal">
      <formula>"n.a."</formula>
    </cfRule>
  </conditionalFormatting>
  <conditionalFormatting sqref="C158:K159">
    <cfRule type="cellIs" dxfId="24" priority="58" operator="equal">
      <formula>"n.a."</formula>
    </cfRule>
  </conditionalFormatting>
  <conditionalFormatting sqref="C185:K185">
    <cfRule type="cellIs" dxfId="23" priority="50" operator="equal">
      <formula>"n.a."</formula>
    </cfRule>
  </conditionalFormatting>
  <conditionalFormatting sqref="C1:L5">
    <cfRule type="cellIs" dxfId="22" priority="28" operator="equal">
      <formula>"n.a."</formula>
    </cfRule>
  </conditionalFormatting>
  <conditionalFormatting sqref="C28:L28">
    <cfRule type="cellIs" dxfId="21" priority="41" operator="equal">
      <formula>"n.a."</formula>
    </cfRule>
  </conditionalFormatting>
  <conditionalFormatting sqref="C33:L33">
    <cfRule type="cellIs" dxfId="20" priority="38" operator="equal">
      <formula>"n.a."</formula>
    </cfRule>
  </conditionalFormatting>
  <conditionalFormatting sqref="C39:L53">
    <cfRule type="cellIs" dxfId="19" priority="14" operator="equal">
      <formula>"n.a."</formula>
    </cfRule>
  </conditionalFormatting>
  <conditionalFormatting sqref="C76:L76">
    <cfRule type="cellIs" dxfId="18" priority="35" operator="equal">
      <formula>"n.a."</formula>
    </cfRule>
  </conditionalFormatting>
  <conditionalFormatting sqref="C81:L81">
    <cfRule type="cellIs" dxfId="17" priority="32" operator="equal">
      <formula>"n.a."</formula>
    </cfRule>
  </conditionalFormatting>
  <conditionalFormatting sqref="C87:L101">
    <cfRule type="cellIs" dxfId="16" priority="1" operator="equal">
      <formula>"n.a."</formula>
    </cfRule>
  </conditionalFormatting>
  <conditionalFormatting sqref="C105:L130">
    <cfRule type="cellIs" dxfId="15" priority="77" operator="equal">
      <formula>"n.a."</formula>
    </cfRule>
  </conditionalFormatting>
  <conditionalFormatting sqref="C153:L153">
    <cfRule type="cellIs" dxfId="14" priority="29" operator="equal">
      <formula>"n.a."</formula>
    </cfRule>
  </conditionalFormatting>
  <conditionalFormatting sqref="C156:L156">
    <cfRule type="cellIs" dxfId="13" priority="75" operator="equal">
      <formula>"n.a."</formula>
    </cfRule>
  </conditionalFormatting>
  <conditionalFormatting sqref="C160:L184">
    <cfRule type="cellIs" dxfId="12" priority="63" operator="equal">
      <formula>"n.a."</formula>
    </cfRule>
  </conditionalFormatting>
  <conditionalFormatting sqref="C186:L207">
    <cfRule type="cellIs" dxfId="11" priority="51" operator="equal">
      <formula>"n.a."</formula>
    </cfRule>
  </conditionalFormatting>
  <conditionalFormatting sqref="C209:L1048576">
    <cfRule type="cellIs" dxfId="10" priority="43" operator="equal">
      <formula>"n.a."</formula>
    </cfRule>
  </conditionalFormatting>
  <conditionalFormatting sqref="K7:L38">
    <cfRule type="cellIs" dxfId="9" priority="39" operator="equal">
      <formula>"n.a."</formula>
    </cfRule>
  </conditionalFormatting>
  <conditionalFormatting sqref="K55:L86">
    <cfRule type="cellIs" dxfId="8" priority="33" operator="equal">
      <formula>"n.a."</formula>
    </cfRule>
  </conditionalFormatting>
  <conditionalFormatting sqref="K132:L155">
    <cfRule type="cellIs" dxfId="7" priority="30" operator="equal">
      <formula>"n.a."</formula>
    </cfRule>
  </conditionalFormatting>
  <conditionalFormatting sqref="M2:M3">
    <cfRule type="cellIs" dxfId="6" priority="141" operator="equal">
      <formula>"n.a."</formula>
    </cfRule>
  </conditionalFormatting>
  <conditionalFormatting sqref="M24">
    <cfRule type="cellIs" dxfId="5" priority="109" operator="equal">
      <formula>"n.a."</formula>
    </cfRule>
  </conditionalFormatting>
  <conditionalFormatting sqref="M72">
    <cfRule type="cellIs" dxfId="4" priority="96" operator="equal">
      <formula>"n.a."</formula>
    </cfRule>
  </conditionalFormatting>
  <conditionalFormatting sqref="M122">
    <cfRule type="cellIs" dxfId="3" priority="84" operator="equal">
      <formula>"n.a."</formula>
    </cfRule>
  </conditionalFormatting>
  <conditionalFormatting sqref="M149">
    <cfRule type="cellIs" dxfId="2" priority="73" operator="equal">
      <formula>"n.a."</formula>
    </cfRule>
  </conditionalFormatting>
  <conditionalFormatting sqref="M177">
    <cfRule type="cellIs" dxfId="1" priority="66" operator="equal">
      <formula>"n.a."</formula>
    </cfRule>
  </conditionalFormatting>
  <conditionalFormatting sqref="M203">
    <cfRule type="cellIs" dxfId="0" priority="54" operator="equal">
      <formula>"n.a."</formula>
    </cfRule>
  </conditionalFormatting>
  <hyperlinks>
    <hyperlink ref="B4" r:id="rId1" xr:uid="{038BE071-D65B-4E09-A744-0AC97388C8A2}"/>
  </hyperlinks>
  <pageMargins left="0.70866141732283472" right="0.70866141732283472" top="0.74803149606299213" bottom="0.74803149606299213" header="0.31496062992125984" footer="0.31496062992125984"/>
  <pageSetup paperSize="9" scale="76" fitToHeight="4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7035F-F745-4C96-B1C8-245C7332D968}">
  <sheetPr codeName="Feuil6">
    <tabColor rgb="FFFFFFFF"/>
    <pageSetUpPr autoPageBreaks="0"/>
  </sheetPr>
  <dimension ref="A1:U60"/>
  <sheetViews>
    <sheetView showGridLines="0" zoomScaleNormal="100" zoomScaleSheetLayoutView="120" workbookViewId="0"/>
  </sheetViews>
  <sheetFormatPr baseColWidth="10" defaultColWidth="14.140625" defaultRowHeight="15" customHeight="1" x14ac:dyDescent="0.15"/>
  <cols>
    <col min="1" max="1" width="4.7109375" style="63" customWidth="1"/>
    <col min="2" max="2" width="14.28515625" style="63" customWidth="1"/>
    <col min="3" max="3" width="38.140625" style="63" customWidth="1"/>
    <col min="4" max="4" width="72.7109375" style="63" customWidth="1"/>
    <col min="5" max="5" width="14.28515625" style="63" customWidth="1"/>
    <col min="6" max="8" width="25.140625" style="63" customWidth="1"/>
    <col min="9" max="9" width="10.85546875" style="63" customWidth="1"/>
    <col min="10" max="16384" width="14.140625" style="63"/>
  </cols>
  <sheetData>
    <row r="1" spans="1:21" s="56" customFormat="1" ht="61.5" customHeight="1" x14ac:dyDescent="0.35">
      <c r="A1" s="52"/>
      <c r="B1" s="52"/>
      <c r="C1" s="53" t="s">
        <v>72</v>
      </c>
      <c r="D1" s="52"/>
      <c r="E1" s="54"/>
      <c r="F1" s="54"/>
      <c r="G1" s="54"/>
      <c r="H1" s="54"/>
      <c r="I1" s="54"/>
      <c r="J1" s="54"/>
      <c r="K1" s="54"/>
      <c r="L1" s="54"/>
      <c r="M1" s="55"/>
      <c r="N1" s="55"/>
      <c r="O1" s="55"/>
      <c r="P1" s="55"/>
      <c r="Q1" s="55"/>
      <c r="R1" s="55"/>
      <c r="S1" s="55"/>
      <c r="T1" s="55"/>
      <c r="U1" s="55"/>
    </row>
    <row r="2" spans="1:21" s="56" customFormat="1" ht="19.5" customHeight="1" x14ac:dyDescent="0.15">
      <c r="A2" s="57"/>
      <c r="B2" s="58"/>
      <c r="C2" s="59" t="s">
        <v>73</v>
      </c>
      <c r="D2" s="52"/>
      <c r="E2" s="54"/>
      <c r="F2" s="54"/>
      <c r="G2" s="54"/>
      <c r="H2" s="54"/>
      <c r="I2" s="54"/>
      <c r="J2" s="54"/>
      <c r="K2" s="54"/>
      <c r="L2" s="54"/>
      <c r="M2" s="55"/>
      <c r="N2" s="55"/>
      <c r="O2" s="55"/>
      <c r="P2" s="55"/>
      <c r="Q2" s="55"/>
      <c r="R2" s="55"/>
      <c r="S2" s="55"/>
      <c r="T2" s="55"/>
      <c r="U2" s="55"/>
    </row>
    <row r="3" spans="1:21" s="56" customFormat="1" ht="17.100000000000001" customHeight="1" x14ac:dyDescent="0.15">
      <c r="A3" s="54"/>
      <c r="B3" s="54"/>
      <c r="C3" s="52"/>
      <c r="D3" s="54"/>
      <c r="E3" s="52"/>
      <c r="F3" s="52"/>
      <c r="G3" s="52"/>
      <c r="H3" s="52"/>
      <c r="I3" s="52"/>
      <c r="J3" s="54"/>
      <c r="K3" s="54"/>
      <c r="L3" s="54"/>
      <c r="M3" s="55"/>
      <c r="N3" s="55"/>
      <c r="O3" s="55"/>
      <c r="P3" s="55"/>
      <c r="Q3" s="55"/>
      <c r="R3" s="55"/>
      <c r="S3" s="55"/>
      <c r="T3" s="55"/>
      <c r="U3" s="55"/>
    </row>
    <row r="4" spans="1:21" s="56" customFormat="1" ht="13.5" customHeight="1" x14ac:dyDescent="0.15">
      <c r="A4" s="55"/>
      <c r="B4" s="55"/>
      <c r="C4" s="60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1:21" s="56" customFormat="1" ht="13.5" customHeight="1" x14ac:dyDescent="0.15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6" spans="1:21" s="56" customFormat="1" ht="21.75" customHeight="1" x14ac:dyDescent="0.15">
      <c r="B6" s="61" t="s">
        <v>91</v>
      </c>
      <c r="D6" s="62"/>
      <c r="E6" s="62"/>
      <c r="F6" s="62"/>
      <c r="G6" s="62"/>
      <c r="H6" s="62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</row>
    <row r="7" spans="1:21" ht="20.100000000000001" customHeight="1" x14ac:dyDescent="0.15"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</row>
    <row r="8" spans="1:21" ht="69.95" customHeight="1" x14ac:dyDescent="0.25">
      <c r="B8" s="65"/>
      <c r="C8" s="65"/>
      <c r="D8" s="66" t="s">
        <v>76</v>
      </c>
      <c r="E8" s="67"/>
      <c r="F8" s="68" t="s">
        <v>77</v>
      </c>
      <c r="G8" s="69" t="s">
        <v>74</v>
      </c>
      <c r="H8" s="70" t="s">
        <v>75</v>
      </c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</row>
    <row r="9" spans="1:21" ht="69.95" customHeight="1" x14ac:dyDescent="0.15">
      <c r="B9" s="65"/>
      <c r="C9" s="65"/>
      <c r="D9" s="71" t="s">
        <v>92</v>
      </c>
      <c r="E9" s="67"/>
      <c r="F9" s="68"/>
      <c r="G9" s="69"/>
      <c r="H9" s="70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</row>
    <row r="10" spans="1:21" ht="15" customHeight="1" x14ac:dyDescent="0.15">
      <c r="B10" s="72"/>
      <c r="C10" s="72"/>
      <c r="D10" s="71"/>
      <c r="E10" s="67"/>
      <c r="F10" s="73"/>
      <c r="G10" s="74"/>
      <c r="H10" s="7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spans="1:21" ht="69.95" customHeight="1" x14ac:dyDescent="0.25">
      <c r="B11" s="65"/>
      <c r="C11" s="65"/>
      <c r="D11" s="66" t="s">
        <v>78</v>
      </c>
      <c r="E11" s="67"/>
      <c r="F11" s="68" t="s">
        <v>77</v>
      </c>
      <c r="G11" s="69"/>
      <c r="H11" s="70" t="s">
        <v>75</v>
      </c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</row>
    <row r="12" spans="1:21" ht="69.95" customHeight="1" x14ac:dyDescent="0.15">
      <c r="B12" s="65"/>
      <c r="C12" s="65"/>
      <c r="D12" s="71" t="s">
        <v>93</v>
      </c>
      <c r="E12" s="75"/>
      <c r="F12" s="68"/>
      <c r="G12" s="69"/>
      <c r="H12" s="70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spans="1:21" ht="35.1" customHeight="1" x14ac:dyDescent="0.15">
      <c r="B13" s="64"/>
      <c r="C13" s="64"/>
      <c r="D13" s="64"/>
      <c r="E13" s="75"/>
      <c r="F13" s="73"/>
      <c r="G13" s="74"/>
      <c r="H13" s="7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spans="1:21" ht="15" customHeight="1" x14ac:dyDescent="0.15">
      <c r="B14" s="64"/>
      <c r="C14" s="64"/>
      <c r="D14" s="62"/>
      <c r="E14" s="64"/>
      <c r="F14" s="76"/>
      <c r="G14" s="64"/>
      <c r="H14" s="77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spans="1:21" ht="21.75" customHeight="1" x14ac:dyDescent="0.2">
      <c r="B15" s="61" t="s">
        <v>94</v>
      </c>
      <c r="D15" s="64"/>
      <c r="E15" s="62"/>
      <c r="F15" s="78"/>
      <c r="G15" s="79"/>
      <c r="H15" s="79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spans="1:21" ht="20.100000000000001" customHeight="1" x14ac:dyDescent="0.2">
      <c r="B16" s="64"/>
      <c r="C16" s="62"/>
      <c r="D16" s="64"/>
      <c r="E16" s="62"/>
      <c r="F16" s="78"/>
      <c r="G16" s="79"/>
      <c r="H16" s="79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</row>
    <row r="17" spans="2:21" ht="69.95" customHeight="1" x14ac:dyDescent="0.35">
      <c r="B17" s="80"/>
      <c r="C17" s="80"/>
      <c r="D17" s="66" t="s">
        <v>146</v>
      </c>
      <c r="E17" s="64"/>
      <c r="F17" s="68" t="s">
        <v>77</v>
      </c>
      <c r="G17" s="69" t="s">
        <v>74</v>
      </c>
      <c r="H17" s="70" t="s">
        <v>75</v>
      </c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spans="2:21" ht="69.95" customHeight="1" x14ac:dyDescent="0.15">
      <c r="B18" s="80"/>
      <c r="C18" s="80"/>
      <c r="D18" s="71" t="s">
        <v>79</v>
      </c>
      <c r="E18" s="67"/>
      <c r="F18" s="68"/>
      <c r="G18" s="69"/>
      <c r="H18" s="70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spans="2:21" ht="15" customHeight="1" x14ac:dyDescent="0.15">
      <c r="B19" s="81"/>
      <c r="C19" s="81"/>
      <c r="D19" s="71"/>
      <c r="E19" s="67"/>
      <c r="F19" s="73"/>
      <c r="G19" s="82"/>
      <c r="H19" s="83"/>
      <c r="I19" s="64"/>
      <c r="J19" s="84"/>
      <c r="K19" s="84"/>
      <c r="L19" s="84"/>
      <c r="M19" s="84"/>
      <c r="N19" s="84"/>
      <c r="O19" s="64"/>
      <c r="P19" s="64"/>
      <c r="Q19" s="64"/>
      <c r="R19" s="64"/>
      <c r="S19" s="64"/>
      <c r="T19" s="64"/>
      <c r="U19" s="64"/>
    </row>
    <row r="20" spans="2:21" ht="69.95" customHeight="1" x14ac:dyDescent="0.25">
      <c r="B20" s="80"/>
      <c r="C20" s="80"/>
      <c r="D20" s="66" t="s">
        <v>87</v>
      </c>
      <c r="E20" s="67"/>
      <c r="F20" s="68" t="s">
        <v>77</v>
      </c>
      <c r="G20" s="69" t="s">
        <v>74</v>
      </c>
      <c r="H20" s="70" t="s">
        <v>75</v>
      </c>
      <c r="I20" s="64"/>
      <c r="J20" s="85"/>
      <c r="K20" s="86"/>
      <c r="L20" s="86"/>
      <c r="M20" s="85"/>
      <c r="N20" s="84"/>
      <c r="O20" s="64"/>
      <c r="P20" s="64"/>
      <c r="Q20" s="64"/>
      <c r="R20" s="64"/>
      <c r="S20" s="64"/>
      <c r="T20" s="64"/>
      <c r="U20" s="64"/>
    </row>
    <row r="21" spans="2:21" ht="69.95" customHeight="1" x14ac:dyDescent="0.15">
      <c r="B21" s="80"/>
      <c r="C21" s="80"/>
      <c r="D21" s="71" t="s">
        <v>88</v>
      </c>
      <c r="E21" s="75"/>
      <c r="F21" s="68"/>
      <c r="G21" s="69"/>
      <c r="H21" s="70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</row>
    <row r="22" spans="2:21" ht="15" customHeight="1" x14ac:dyDescent="0.15">
      <c r="B22" s="64"/>
      <c r="C22" s="64"/>
      <c r="D22" s="71"/>
      <c r="E22" s="75"/>
      <c r="F22" s="74"/>
      <c r="G22" s="74"/>
      <c r="H22" s="7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</row>
    <row r="23" spans="2:21" ht="69.95" customHeight="1" x14ac:dyDescent="0.25">
      <c r="B23" s="80"/>
      <c r="C23" s="80"/>
      <c r="D23" s="66" t="s">
        <v>95</v>
      </c>
      <c r="E23" s="75"/>
      <c r="F23" s="68" t="s">
        <v>77</v>
      </c>
      <c r="G23" s="69" t="s">
        <v>74</v>
      </c>
      <c r="H23" s="70" t="s">
        <v>75</v>
      </c>
      <c r="I23" s="64"/>
      <c r="J23" s="87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  <row r="24" spans="2:21" ht="69.95" customHeight="1" x14ac:dyDescent="0.15">
      <c r="B24" s="80"/>
      <c r="C24" s="80"/>
      <c r="D24" s="88" t="s">
        <v>147</v>
      </c>
      <c r="E24" s="89"/>
      <c r="F24" s="68"/>
      <c r="G24" s="69"/>
      <c r="H24" s="70"/>
      <c r="I24" s="64"/>
      <c r="J24" s="90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</row>
    <row r="25" spans="2:21" ht="15" customHeight="1" x14ac:dyDescent="0.15">
      <c r="B25" s="64"/>
      <c r="C25" s="64"/>
      <c r="D25" s="71"/>
      <c r="E25" s="89"/>
      <c r="F25" s="74"/>
      <c r="G25" s="74"/>
      <c r="H25" s="74"/>
      <c r="I25" s="64"/>
      <c r="J25" s="90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</row>
    <row r="26" spans="2:21" ht="69.95" customHeight="1" x14ac:dyDescent="0.25">
      <c r="B26" s="80"/>
      <c r="C26" s="80"/>
      <c r="D26" s="66" t="s">
        <v>148</v>
      </c>
      <c r="E26" s="89"/>
      <c r="F26" s="68"/>
      <c r="G26" s="69" t="s">
        <v>74</v>
      </c>
      <c r="H26" s="70" t="s">
        <v>75</v>
      </c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</row>
    <row r="27" spans="2:21" ht="69.95" customHeight="1" x14ac:dyDescent="0.15">
      <c r="B27" s="80"/>
      <c r="C27" s="80"/>
      <c r="D27" s="71" t="s">
        <v>149</v>
      </c>
      <c r="E27" s="75"/>
      <c r="F27" s="68"/>
      <c r="G27" s="69"/>
      <c r="H27" s="70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</row>
    <row r="28" spans="2:21" ht="15" customHeight="1" x14ac:dyDescent="0.15">
      <c r="B28" s="64"/>
      <c r="C28" s="64"/>
      <c r="D28" s="71"/>
      <c r="E28" s="75"/>
      <c r="F28" s="74"/>
      <c r="G28" s="74"/>
      <c r="H28" s="74"/>
      <c r="I28" s="64"/>
      <c r="J28" s="90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</row>
    <row r="29" spans="2:21" ht="69.95" customHeight="1" x14ac:dyDescent="0.25">
      <c r="B29" s="80"/>
      <c r="C29" s="80"/>
      <c r="D29" s="66" t="s">
        <v>80</v>
      </c>
      <c r="E29" s="89"/>
      <c r="F29" s="68" t="s">
        <v>77</v>
      </c>
      <c r="G29" s="69" t="s">
        <v>74</v>
      </c>
      <c r="H29" s="70" t="s">
        <v>75</v>
      </c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</row>
    <row r="30" spans="2:21" ht="69.95" customHeight="1" x14ac:dyDescent="0.15">
      <c r="B30" s="80"/>
      <c r="C30" s="80"/>
      <c r="D30" s="71" t="s">
        <v>150</v>
      </c>
      <c r="E30" s="75"/>
      <c r="F30" s="68"/>
      <c r="G30" s="69"/>
      <c r="H30" s="70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</row>
    <row r="31" spans="2:21" ht="35.1" customHeight="1" x14ac:dyDescent="0.15">
      <c r="B31" s="64"/>
      <c r="C31" s="64"/>
      <c r="D31" s="71"/>
      <c r="E31" s="75"/>
      <c r="F31" s="74"/>
      <c r="G31" s="74"/>
      <c r="H31" s="7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</row>
    <row r="32" spans="2:21" ht="21.75" customHeight="1" x14ac:dyDescent="0.25">
      <c r="B32" s="61" t="s">
        <v>96</v>
      </c>
      <c r="D32" s="91"/>
      <c r="E32" s="62"/>
      <c r="F32" s="78"/>
      <c r="G32" s="79"/>
      <c r="H32" s="79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</row>
    <row r="33" spans="2:21" ht="20.100000000000001" customHeight="1" x14ac:dyDescent="0.25">
      <c r="B33" s="64"/>
      <c r="C33" s="62"/>
      <c r="D33" s="91"/>
      <c r="E33" s="62"/>
      <c r="F33" s="78"/>
      <c r="G33" s="79"/>
      <c r="H33" s="79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</row>
    <row r="34" spans="2:21" ht="69.95" customHeight="1" x14ac:dyDescent="0.25">
      <c r="B34" s="92"/>
      <c r="C34" s="92"/>
      <c r="D34" s="93" t="s">
        <v>97</v>
      </c>
      <c r="E34" s="94"/>
      <c r="F34" s="68" t="s">
        <v>77</v>
      </c>
      <c r="G34" s="69" t="s">
        <v>74</v>
      </c>
      <c r="H34" s="70" t="s">
        <v>75</v>
      </c>
    </row>
    <row r="35" spans="2:21" ht="69.95" customHeight="1" x14ac:dyDescent="0.15">
      <c r="B35" s="92"/>
      <c r="C35" s="92"/>
      <c r="D35" s="95" t="s">
        <v>151</v>
      </c>
      <c r="E35" s="96"/>
      <c r="F35" s="68"/>
      <c r="G35" s="69"/>
      <c r="H35" s="70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</row>
    <row r="36" spans="2:21" ht="15" customHeight="1" x14ac:dyDescent="0.15">
      <c r="B36" s="97"/>
      <c r="C36" s="97"/>
      <c r="D36" s="95"/>
      <c r="E36" s="96"/>
      <c r="F36" s="74"/>
      <c r="G36" s="74"/>
      <c r="H36" s="7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</row>
    <row r="37" spans="2:21" ht="69.95" customHeight="1" x14ac:dyDescent="0.25">
      <c r="B37" s="80"/>
      <c r="C37" s="80"/>
      <c r="D37" s="66" t="s">
        <v>89</v>
      </c>
      <c r="E37" s="96"/>
      <c r="F37" s="68" t="s">
        <v>77</v>
      </c>
      <c r="G37" s="69" t="s">
        <v>74</v>
      </c>
      <c r="H37" s="70" t="s">
        <v>75</v>
      </c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</row>
    <row r="38" spans="2:21" ht="69.95" customHeight="1" x14ac:dyDescent="0.15">
      <c r="B38" s="80"/>
      <c r="C38" s="80"/>
      <c r="D38" s="71" t="s">
        <v>90</v>
      </c>
      <c r="E38" s="75"/>
      <c r="F38" s="68"/>
      <c r="G38" s="69"/>
      <c r="H38" s="70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</row>
    <row r="39" spans="2:21" ht="15" customHeight="1" x14ac:dyDescent="0.15">
      <c r="B39" s="64"/>
      <c r="C39" s="98"/>
      <c r="D39" s="71"/>
      <c r="E39" s="75"/>
      <c r="F39" s="74"/>
      <c r="G39" s="74"/>
      <c r="H39" s="7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</row>
    <row r="40" spans="2:21" ht="69.95" customHeight="1" x14ac:dyDescent="0.25">
      <c r="B40" s="80"/>
      <c r="C40" s="80"/>
      <c r="D40" s="66" t="s">
        <v>152</v>
      </c>
      <c r="E40" s="75"/>
      <c r="F40" s="68" t="s">
        <v>77</v>
      </c>
      <c r="G40" s="69" t="s">
        <v>74</v>
      </c>
      <c r="H40" s="70" t="s">
        <v>75</v>
      </c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</row>
    <row r="41" spans="2:21" ht="69.95" customHeight="1" x14ac:dyDescent="0.15">
      <c r="B41" s="80"/>
      <c r="C41" s="80"/>
      <c r="D41" s="71" t="s">
        <v>153</v>
      </c>
      <c r="E41" s="75"/>
      <c r="F41" s="68"/>
      <c r="G41" s="69"/>
      <c r="H41" s="70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</row>
    <row r="42" spans="2:21" ht="35.1" customHeight="1" x14ac:dyDescent="0.2">
      <c r="B42" s="64"/>
      <c r="C42" s="99"/>
      <c r="D42" s="71"/>
      <c r="E42" s="75"/>
      <c r="F42" s="74"/>
      <c r="G42" s="74"/>
      <c r="H42" s="7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</row>
    <row r="43" spans="2:21" ht="21.75" customHeight="1" x14ac:dyDescent="0.2">
      <c r="B43" s="61" t="s">
        <v>98</v>
      </c>
      <c r="D43" s="64"/>
      <c r="E43" s="62"/>
      <c r="F43" s="78"/>
      <c r="G43" s="79"/>
      <c r="H43" s="79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</row>
    <row r="44" spans="2:21" ht="20.100000000000001" customHeight="1" x14ac:dyDescent="0.2">
      <c r="B44" s="64"/>
      <c r="C44" s="62"/>
      <c r="D44" s="64"/>
      <c r="E44" s="62"/>
      <c r="F44" s="78"/>
      <c r="G44" s="79"/>
      <c r="H44" s="79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</row>
    <row r="45" spans="2:21" ht="69.95" customHeight="1" x14ac:dyDescent="0.25">
      <c r="B45" s="80"/>
      <c r="C45" s="80"/>
      <c r="D45" s="66" t="s">
        <v>81</v>
      </c>
      <c r="E45" s="64"/>
      <c r="F45" s="68" t="s">
        <v>77</v>
      </c>
      <c r="G45" s="69" t="s">
        <v>74</v>
      </c>
      <c r="H45" s="70" t="s">
        <v>75</v>
      </c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</row>
    <row r="46" spans="2:21" ht="69.95" customHeight="1" x14ac:dyDescent="0.15">
      <c r="B46" s="80"/>
      <c r="C46" s="80"/>
      <c r="D46" s="71" t="s">
        <v>82</v>
      </c>
      <c r="E46" s="75"/>
      <c r="F46" s="68"/>
      <c r="G46" s="69"/>
      <c r="H46" s="70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</row>
    <row r="47" spans="2:21" ht="15" customHeight="1" x14ac:dyDescent="0.15">
      <c r="B47" s="81"/>
      <c r="C47" s="81"/>
      <c r="D47" s="71"/>
      <c r="E47" s="75"/>
      <c r="F47" s="73"/>
      <c r="G47" s="82"/>
      <c r="H47" s="83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</row>
    <row r="48" spans="2:21" ht="69.95" customHeight="1" x14ac:dyDescent="0.25">
      <c r="B48" s="80"/>
      <c r="C48" s="80"/>
      <c r="D48" s="66" t="s">
        <v>83</v>
      </c>
      <c r="E48" s="75"/>
      <c r="F48" s="68" t="s">
        <v>77</v>
      </c>
      <c r="G48" s="69" t="s">
        <v>74</v>
      </c>
      <c r="H48" s="70" t="s">
        <v>75</v>
      </c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</row>
    <row r="49" spans="2:21" ht="69.95" customHeight="1" x14ac:dyDescent="0.15">
      <c r="B49" s="80"/>
      <c r="C49" s="80"/>
      <c r="D49" s="71" t="s">
        <v>84</v>
      </c>
      <c r="E49" s="75"/>
      <c r="F49" s="68"/>
      <c r="G49" s="69"/>
      <c r="H49" s="70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</row>
    <row r="50" spans="2:21" ht="15" customHeight="1" x14ac:dyDescent="0.15">
      <c r="B50" s="81"/>
      <c r="C50" s="81"/>
      <c r="D50" s="71"/>
      <c r="E50" s="75"/>
      <c r="F50" s="73"/>
      <c r="G50" s="82"/>
      <c r="H50" s="83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</row>
    <row r="51" spans="2:21" ht="69.95" customHeight="1" x14ac:dyDescent="0.25">
      <c r="B51" s="80"/>
      <c r="C51" s="80"/>
      <c r="D51" s="66" t="s">
        <v>85</v>
      </c>
      <c r="E51" s="75"/>
      <c r="F51" s="68" t="s">
        <v>77</v>
      </c>
      <c r="G51" s="69" t="s">
        <v>74</v>
      </c>
      <c r="H51" s="70" t="s">
        <v>75</v>
      </c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</row>
    <row r="52" spans="2:21" ht="69.95" customHeight="1" x14ac:dyDescent="0.15">
      <c r="B52" s="80"/>
      <c r="C52" s="80"/>
      <c r="D52" s="71" t="s">
        <v>86</v>
      </c>
      <c r="E52" s="75"/>
      <c r="F52" s="68"/>
      <c r="G52" s="69"/>
      <c r="H52" s="70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</row>
    <row r="53" spans="2:21" ht="15" customHeight="1" x14ac:dyDescent="0.15">
      <c r="B53" s="81"/>
      <c r="C53" s="81"/>
      <c r="D53" s="71"/>
      <c r="E53" s="75"/>
      <c r="F53" s="73"/>
      <c r="G53" s="82"/>
      <c r="H53" s="83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</row>
    <row r="54" spans="2:21" ht="69.95" customHeight="1" x14ac:dyDescent="0.35">
      <c r="B54" s="80"/>
      <c r="C54" s="80"/>
      <c r="D54" s="66" t="s">
        <v>154</v>
      </c>
      <c r="E54" s="64"/>
      <c r="F54" s="68" t="s">
        <v>77</v>
      </c>
      <c r="G54" s="69" t="s">
        <v>74</v>
      </c>
      <c r="H54" s="70" t="s">
        <v>75</v>
      </c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</row>
    <row r="55" spans="2:21" ht="69.95" customHeight="1" x14ac:dyDescent="0.15">
      <c r="B55" s="80"/>
      <c r="C55" s="80"/>
      <c r="D55" s="71" t="s">
        <v>155</v>
      </c>
      <c r="E55" s="64"/>
      <c r="F55" s="68"/>
      <c r="G55" s="69"/>
      <c r="H55" s="70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</row>
    <row r="56" spans="2:21" ht="15" customHeight="1" x14ac:dyDescent="0.15"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</row>
    <row r="57" spans="2:21" ht="15" customHeight="1" x14ac:dyDescent="0.15"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</row>
    <row r="58" spans="2:21" ht="15" customHeight="1" x14ac:dyDescent="0.15"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</row>
    <row r="59" spans="2:21" ht="15" customHeight="1" x14ac:dyDescent="0.15"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</row>
    <row r="60" spans="2:21" ht="15" customHeight="1" x14ac:dyDescent="0.15">
      <c r="B60" s="64"/>
      <c r="C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</row>
  </sheetData>
  <sheetProtection formatCells="0" formatColumns="0" formatRows="0" insertColumns="0" insertRows="0" insertHyperlinks="0" deleteColumns="0" deleteRows="0" sort="0" autoFilter="0" pivotTables="0"/>
  <mergeCells count="66">
    <mergeCell ref="B51:C52"/>
    <mergeCell ref="F51:F52"/>
    <mergeCell ref="G51:G52"/>
    <mergeCell ref="H51:H52"/>
    <mergeCell ref="E52:E53"/>
    <mergeCell ref="B54:C55"/>
    <mergeCell ref="F54:F55"/>
    <mergeCell ref="G54:G55"/>
    <mergeCell ref="H54:H55"/>
    <mergeCell ref="B45:C46"/>
    <mergeCell ref="F45:F46"/>
    <mergeCell ref="G45:G46"/>
    <mergeCell ref="H45:H46"/>
    <mergeCell ref="E46:E48"/>
    <mergeCell ref="B48:C49"/>
    <mergeCell ref="F48:F49"/>
    <mergeCell ref="G48:G49"/>
    <mergeCell ref="H48:H49"/>
    <mergeCell ref="E49:E51"/>
    <mergeCell ref="B37:C38"/>
    <mergeCell ref="F37:F38"/>
    <mergeCell ref="G37:G38"/>
    <mergeCell ref="H37:H38"/>
    <mergeCell ref="E38:E40"/>
    <mergeCell ref="B40:C41"/>
    <mergeCell ref="F40:F41"/>
    <mergeCell ref="G40:G41"/>
    <mergeCell ref="H40:H41"/>
    <mergeCell ref="E41:E42"/>
    <mergeCell ref="B29:C30"/>
    <mergeCell ref="F29:F30"/>
    <mergeCell ref="G29:G30"/>
    <mergeCell ref="H29:H30"/>
    <mergeCell ref="E30:E31"/>
    <mergeCell ref="B34:C35"/>
    <mergeCell ref="F34:F35"/>
    <mergeCell ref="G34:G35"/>
    <mergeCell ref="H34:H35"/>
    <mergeCell ref="E35:E37"/>
    <mergeCell ref="F23:F24"/>
    <mergeCell ref="G23:G24"/>
    <mergeCell ref="H23:H24"/>
    <mergeCell ref="B26:C27"/>
    <mergeCell ref="F26:F27"/>
    <mergeCell ref="G26:G27"/>
    <mergeCell ref="H26:H27"/>
    <mergeCell ref="E27:E28"/>
    <mergeCell ref="B17:C18"/>
    <mergeCell ref="F17:F18"/>
    <mergeCell ref="G17:G18"/>
    <mergeCell ref="H17:H18"/>
    <mergeCell ref="B20:C21"/>
    <mergeCell ref="F20:F21"/>
    <mergeCell ref="G20:G21"/>
    <mergeCell ref="H20:H21"/>
    <mergeCell ref="E21:E23"/>
    <mergeCell ref="B23:C24"/>
    <mergeCell ref="B8:C9"/>
    <mergeCell ref="F8:F9"/>
    <mergeCell ref="G8:G9"/>
    <mergeCell ref="H8:H9"/>
    <mergeCell ref="B11:C12"/>
    <mergeCell ref="F11:F12"/>
    <mergeCell ref="G11:G12"/>
    <mergeCell ref="H11:H12"/>
    <mergeCell ref="E12:E13"/>
  </mergeCells>
  <hyperlinks>
    <hyperlink ref="F8" r:id="rId1" xr:uid="{13D60D4A-5BDD-41FD-894B-5478C3724205}"/>
    <hyperlink ref="H8" r:id="rId2" xr:uid="{86C7FA30-AB17-419F-B004-95A2EE0C7774}"/>
    <hyperlink ref="D8" r:id="rId3" xr:uid="{2876FF83-8715-4C90-B45D-DDFCB144D83A}"/>
    <hyperlink ref="G8" r:id="rId4" xr:uid="{7043F6AE-B9DE-4C82-8566-B973EC6D2C8D}"/>
    <hyperlink ref="H11" r:id="rId5" xr:uid="{79D550CA-65CD-4FBB-8E98-C36917B9FDDF}"/>
    <hyperlink ref="H13" r:id="rId6" display="mailto:research@enerdata.net?subject=Key%20Energy%20Intelligence" xr:uid="{4263213D-543D-45BF-8760-0A53A63A11EF}"/>
    <hyperlink ref="H14" r:id="rId7" display="mailto:research@enerdata.net" xr:uid="{EBF9547A-81CE-4D41-88FD-6AC9C3E5511B}"/>
    <hyperlink ref="H15" r:id="rId8" display="mailto:research@enerdata.net" xr:uid="{72B55A47-0FA6-42D6-AF1B-09A9C0A85D91}"/>
    <hyperlink ref="H17" r:id="rId9" xr:uid="{E3791316-97B7-46F5-A98B-CE549F36A57A}"/>
    <hyperlink ref="H23" r:id="rId10" xr:uid="{ADCFC303-64E7-489C-B45B-E3C4C522361A}"/>
    <hyperlink ref="H29" r:id="rId11" xr:uid="{3479D03B-5814-4C30-9349-B2700964588B}"/>
    <hyperlink ref="H31" r:id="rId12" display="mailto:research@enerdata.net?subject=EnerMonthly" xr:uid="{A9FED68B-7737-47CE-9822-52924FFE1611}"/>
    <hyperlink ref="H45" r:id="rId13" xr:uid="{C4C955B3-847A-42CF-8ED7-82C0777A32F4}"/>
    <hyperlink ref="H48" r:id="rId14" xr:uid="{5EAC008D-23FA-484B-8397-438E66F0F5F2}"/>
    <hyperlink ref="H51" r:id="rId15" xr:uid="{B43303B2-A6E9-4E0C-969B-93A06E67BFB3}"/>
    <hyperlink ref="H43" r:id="rId16" display="mailto:research@enerdata.net" xr:uid="{9A55FB02-2B97-4583-8881-86A09AC3A112}"/>
    <hyperlink ref="H20" r:id="rId17" xr:uid="{854A2671-FB12-4283-B897-1ECCB4630DA3}"/>
    <hyperlink ref="D11" r:id="rId18" xr:uid="{253B5557-FBEA-439A-8C34-2C554521C78B}"/>
    <hyperlink ref="D17" r:id="rId19" xr:uid="{4BC1D59D-05E3-4D40-90C4-3E7B30DF149B}"/>
    <hyperlink ref="F17" r:id="rId20" xr:uid="{6B59142F-F069-4451-94F4-D8CDE72F8BFD}"/>
    <hyperlink ref="G17" r:id="rId21" xr:uid="{A9D1F8B3-6DB6-47B0-BD3F-45A66A63FFA1}"/>
    <hyperlink ref="F29" r:id="rId22" xr:uid="{46A03C85-EE4F-4A5A-AA81-C69E6AB4B89F}"/>
    <hyperlink ref="G29" r:id="rId23" xr:uid="{B977DD65-FE67-4C11-BBCF-B1D5DA7647C9}"/>
    <hyperlink ref="F45" r:id="rId24" xr:uid="{799B3135-7C4F-4A24-A7B8-BE1BD7E22F3B}"/>
    <hyperlink ref="G45" r:id="rId25" xr:uid="{BE29BB32-ECF9-4B59-8489-82740B30910E}"/>
    <hyperlink ref="D45" r:id="rId26" xr:uid="{CE717158-76EF-422C-B818-3F92A0051ED6}"/>
    <hyperlink ref="D48" r:id="rId27" xr:uid="{0FCE8AF6-4825-43FB-8F37-2C1FAC8F689A}"/>
    <hyperlink ref="F48" r:id="rId28" xr:uid="{6A482BB3-70F0-4E88-962A-DF0F6BCFC188}"/>
    <hyperlink ref="G48" r:id="rId29" xr:uid="{30315ACC-9D47-4E34-BC26-E7859002C0D9}"/>
    <hyperlink ref="D51" r:id="rId30" xr:uid="{85A0849D-A871-4FFF-9E7D-6090025A2526}"/>
    <hyperlink ref="F51" r:id="rId31" xr:uid="{0E876BE8-3AD5-4E23-830A-ECC1EB687D9F}"/>
    <hyperlink ref="G51" r:id="rId32" xr:uid="{AD9C9F1E-2F30-43D7-BBBF-2B72891938D9}"/>
    <hyperlink ref="D20" r:id="rId33" xr:uid="{9914D792-7233-4B94-A0EB-3107F229DD42}"/>
    <hyperlink ref="G20" r:id="rId34" xr:uid="{1C82C7AE-13BE-46F2-8134-7C5BB838696F}"/>
    <hyperlink ref="F20" r:id="rId35" xr:uid="{3606D141-552E-4478-A985-5D64D0487583}"/>
    <hyperlink ref="D29" r:id="rId36" xr:uid="{5B82A8B0-FCB4-47B5-B92B-00ACE1C89289}"/>
    <hyperlink ref="D23" r:id="rId37" xr:uid="{DA514856-8D7F-487A-86FD-14B166B8C7D8}"/>
    <hyperlink ref="F23" r:id="rId38" xr:uid="{E383F327-0CB0-4242-9B28-1E5EF10F7386}"/>
    <hyperlink ref="G23" r:id="rId39" xr:uid="{D7821E28-4AE3-48C6-86F0-F0B844588639}"/>
    <hyperlink ref="F31" r:id="rId40" display="https://www.enerdata.net/energy-research-information-database-free-trial.html?service=gem" xr:uid="{539873F5-1EF1-4CBD-A440-0EF1AF680A44}"/>
    <hyperlink ref="D40" r:id="rId41" display="Country Energy Demand Forecast" xr:uid="{65BC0847-B642-4C8F-B6C2-D63059DC4D33}"/>
    <hyperlink ref="H34" r:id="rId42" xr:uid="{89004B73-5F71-4C33-81FF-51BA2F1A8868}"/>
    <hyperlink ref="F34" r:id="rId43" xr:uid="{F59DC149-99BD-4258-A861-FCAC8CC052D4}"/>
    <hyperlink ref="G34" r:id="rId44" xr:uid="{AD0B893C-138A-4678-AF4A-5FB9A6978EFF}"/>
    <hyperlink ref="D37" r:id="rId45" xr:uid="{EB5292F7-57B4-4ECC-91FA-4BF7B838D56B}"/>
    <hyperlink ref="D34" r:id="rId46" xr:uid="{267A89AA-FE6A-407A-B210-1D67086340D5}"/>
    <hyperlink ref="H37" r:id="rId47" xr:uid="{601F6FC5-BF65-4685-9E49-B09767DE5824}"/>
    <hyperlink ref="F37" r:id="rId48" xr:uid="{AF8BB055-6EAF-4E4A-907E-901A5943DE29}"/>
    <hyperlink ref="G37" r:id="rId49" xr:uid="{4D179F25-15C2-44B0-A94F-98C2E5EB95D2}"/>
    <hyperlink ref="H32" r:id="rId50" display="mailto:research@enerdata.net" xr:uid="{6FC4665E-1B49-4431-9AF0-00A3732A6B99}"/>
    <hyperlink ref="F11" r:id="rId51" xr:uid="{3F3B1817-5B43-4A81-A8B8-E3EFA93515AE}"/>
    <hyperlink ref="H42" r:id="rId52" display="mailto:research@enerdata.net?subject=Country%20Energy%20Demand%20Forecast" xr:uid="{D1E95A2F-4261-4F21-A255-EB6FD3723A1E}"/>
    <hyperlink ref="H26" r:id="rId53" xr:uid="{5FAD44B2-734D-4741-B382-EDFE2E8540BC}"/>
    <hyperlink ref="G26" r:id="rId54" xr:uid="{2B152A68-2CF7-49D8-90E5-88190345360F}"/>
    <hyperlink ref="D26" r:id="rId55" xr:uid="{05CE4FE4-FD28-4FF6-9F34-CD7C9BC3E4F2}"/>
    <hyperlink ref="H26:H27" r:id="rId56" display="Contact us" xr:uid="{243A4FDB-178D-46A4-9942-DF8062FC1711}"/>
    <hyperlink ref="G26:G27" r:id="rId57" display="Schedule Demo" xr:uid="{49096EC9-7C52-4D4B-BE46-287A6B14867A}"/>
    <hyperlink ref="F40" r:id="rId58" xr:uid="{95AE80EB-9FF0-485D-851A-AA1C0B610113}"/>
    <hyperlink ref="F40:F41" r:id="rId59" display="Free trial version" xr:uid="{DAB7E144-819D-46D0-AC5E-34631C69D8F3}"/>
    <hyperlink ref="H40" r:id="rId60" xr:uid="{7813D93F-23EB-4F70-85D9-F58377EA7F39}"/>
    <hyperlink ref="G40" r:id="rId61" xr:uid="{3C4EF96A-10D4-4E73-85EE-79DE55742FBA}"/>
    <hyperlink ref="H40:H41" r:id="rId62" display="Contact us" xr:uid="{C9E18953-F85F-4738-A67B-D056EB9EB6C8}"/>
    <hyperlink ref="G40:G41" r:id="rId63" display="Schedule Demo" xr:uid="{8BC110C8-DED8-4A05-A22E-626E971CF590}"/>
    <hyperlink ref="D54" r:id="rId64" xr:uid="{0A5D53FF-1843-459B-97D7-4500858C5740}"/>
    <hyperlink ref="F54" r:id="rId65" xr:uid="{50888130-EFD4-430C-9971-0C3F5AE14763}"/>
    <hyperlink ref="G54" r:id="rId66" xr:uid="{021039F0-2D12-4C89-B858-2A8E58D29406}"/>
    <hyperlink ref="F55" r:id="rId67" display="https://www.enerdata.net/energy-research-information-database-free-trial.html?service=ghcd" xr:uid="{FE0EB580-175D-4CA1-9436-D9831A95F0D9}"/>
    <hyperlink ref="G55" r:id="rId68" display="https://www.enerdata.net/research/schedule-demo.html?service=ghcd" xr:uid="{F9666C9B-C9C4-4DFA-880E-B22CBA755087}"/>
    <hyperlink ref="F54:F55" r:id="rId69" display="Free trial version" xr:uid="{FE907C3C-046B-4DB9-9469-A66D853BAC3C}"/>
    <hyperlink ref="G54:G55" r:id="rId70" display="Schedule Demo" xr:uid="{F1C42100-DB4C-4441-BD1F-4A1233A0EDE1}"/>
    <hyperlink ref="H54" r:id="rId71" xr:uid="{EEE6CDCB-2AAD-4929-9465-281A5C678E8D}"/>
    <hyperlink ref="H55" r:id="rId72" display="mailto:research@enerdata.net?subject=Global%20Hydrogen%20Companies%20Database" xr:uid="{00CA55AF-FC9C-4F15-BCEB-B978CA5A842B}"/>
    <hyperlink ref="H54:H55" r:id="rId73" display="Contact us" xr:uid="{37570CA0-7CBD-414E-9FED-F7FF13615A42}"/>
  </hyperlinks>
  <pageMargins left="0.7" right="0.7" top="0.75" bottom="0.75" header="0.3" footer="0.3"/>
  <pageSetup paperSize="9" orientation="portrait" r:id="rId74"/>
  <colBreaks count="1" manualBreakCount="1">
    <brk id="3" max="47" man="1"/>
  </colBreaks>
  <drawing r:id="rId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C585ED7D66CE44B8C41E638C79534C" ma:contentTypeVersion="7" ma:contentTypeDescription="Crée un document." ma:contentTypeScope="" ma:versionID="b6eb59f7818970bbb000139577eae626">
  <xsd:schema xmlns:xsd="http://www.w3.org/2001/XMLSchema" xmlns:xs="http://www.w3.org/2001/XMLSchema" xmlns:p="http://schemas.microsoft.com/office/2006/metadata/properties" xmlns:ns2="8f112921-5844-4e2d-8249-8bd428dfc1bd" xmlns:ns3="558cacfd-c1f0-42bf-bb67-d19b28a075de" targetNamespace="http://schemas.microsoft.com/office/2006/metadata/properties" ma:root="true" ma:fieldsID="87958de921b1f02ed090f24f97e1403d" ns2:_="" ns3:_="">
    <xsd:import namespace="8f112921-5844-4e2d-8249-8bd428dfc1bd"/>
    <xsd:import namespace="558cacfd-c1f0-42bf-bb67-d19b28a075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12921-5844-4e2d-8249-8bd428dfc1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cacfd-c1f0-42bf-bb67-d19b28a075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5E3EAC-D26A-45BA-AF4F-E4FCDE45EF4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9F7E65-E3B0-4357-88D9-389761EDAF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66C4D5-6368-477C-8B3A-3935F5EFD0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112921-5844-4e2d-8249-8bd428dfc1bd"/>
    <ds:schemaRef ds:uri="558cacfd-c1f0-42bf-bb67-d19b28a075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Intro</vt:lpstr>
      <vt:lpstr>New capacities</vt:lpstr>
      <vt:lpstr>Power Sector Performances</vt:lpstr>
      <vt:lpstr>Services</vt:lpstr>
      <vt:lpstr>data</vt:lpstr>
      <vt:lpstr>'New capacities'!Impression_des_titres</vt:lpstr>
      <vt:lpstr>'Power Sector Performances'!Impression_des_titres</vt:lpstr>
      <vt:lpstr>Intro!Zone_d_impression</vt:lpstr>
      <vt:lpstr>'New capacities'!Zone_d_impression</vt:lpstr>
      <vt:lpstr>'Power Sector Performances'!Zone_d_impression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Enerdata;OpenTBS 1.12.1</dc:creator>
  <cp:keywords/>
  <dc:description/>
  <cp:lastModifiedBy>Florence DAL</cp:lastModifiedBy>
  <cp:revision/>
  <dcterms:created xsi:type="dcterms:W3CDTF">2019-09-17T15:50:05Z</dcterms:created>
  <dcterms:modified xsi:type="dcterms:W3CDTF">2025-07-17T10:09:14Z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0x0101008BC585ED7D66CE44B8C41E638C79534C</vt:lpwstr>
  </property>
</Properties>
</file>